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userName="s273689" algorithmName="SHA-512" hashValue="Ucy01dXPTXk3NkkTzlcbs+fWJSp3lpgj979Sa3ivzY5MS/ii8aHFe8ZR5LzZBEX7jtLEbVdy86J+jHrH6/XTGw==" saltValue="RWZnhtjoG5v1HsNiAL9IUQ==" spinCount="100000"/>
  <workbookPr filterPrivacy="1" codeName="ThisWorkbook" defaultThemeVersion="124226"/>
  <xr:revisionPtr revIDLastSave="0" documentId="8_{0822284F-7FE8-467C-902F-73F345E22EE1}" xr6:coauthVersionLast="47" xr6:coauthVersionMax="47" xr10:uidLastSave="{00000000-0000-0000-0000-000000000000}"/>
  <bookViews>
    <workbookView xWindow="-120" yWindow="-120" windowWidth="29040" windowHeight="15720" tabRatio="902" xr2:uid="{00000000-000D-0000-FFFF-FFFF00000000}"/>
  </bookViews>
  <sheets>
    <sheet name="TCOS" sheetId="2" r:id="rId1"/>
    <sheet name="WS A - Rate Base Support" sheetId="38" r:id="rId2"/>
    <sheet name="WS B ADIT &amp; ITC" sheetId="5" r:id="rId3"/>
    <sheet name="WS B-1 - Actual Stmt. AF" sheetId="36" r:id="rId4"/>
    <sheet name="WS B-2 - Actual Stmt. AG" sheetId="37" r:id="rId5"/>
    <sheet name="WS B-3" sheetId="41" r:id="rId6"/>
    <sheet name="WS B-3-A Remeas Suprt" sheetId="42" r:id="rId7"/>
    <sheet name="WS C  - Working Capital" sheetId="6" r:id="rId8"/>
    <sheet name="WS D IPP Credits" sheetId="7" r:id="rId9"/>
    <sheet name="WS E Rev Credits" sheetId="8" r:id="rId10"/>
    <sheet name="WS F Misc Exp" sheetId="9" r:id="rId11"/>
    <sheet name="WS G  State Tax Rate" sheetId="10" r:id="rId12"/>
    <sheet name="WS H-p1 Other Taxes" sheetId="11" r:id="rId13"/>
    <sheet name="WS H-p2 Detail of Tax Amts" sheetId="31" r:id="rId14"/>
    <sheet name="WS I RESERVED" sheetId="12" r:id="rId15"/>
    <sheet name="WS J PROJECTED RTEP RR" sheetId="20" state="hidden" r:id="rId16"/>
    <sheet name="WS K TRUE-UP RTEP RR" sheetId="13" r:id="rId17"/>
    <sheet name="WS L RESERVED" sheetId="14" r:id="rId18"/>
    <sheet name="WS M - Cost of Capital" sheetId="39" r:id="rId19"/>
    <sheet name="WS N - Sale of Plant Held" sheetId="21" r:id="rId20"/>
    <sheet name="Worksheet O" sheetId="40" r:id="rId21"/>
    <sheet name="WS P Dep. Rates" sheetId="32" r:id="rId22"/>
    <sheet name="WS Q Cap Structure" sheetId="34" r:id="rId23"/>
    <sheet name="WS R Interest" sheetId="35" r:id="rId24"/>
  </sheets>
  <definedNames>
    <definedName name="_NPh1">#REF!</definedName>
    <definedName name="ActExcessAmt">#REF!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dminChg">#REF!</definedName>
    <definedName name="AEP">#REF!</definedName>
    <definedName name="allocator">#REF!</definedName>
    <definedName name="allocators">#REF!</definedName>
    <definedName name="allocatorsSWP">#REF!</definedName>
    <definedName name="allocatorSWP1">#REF!</definedName>
    <definedName name="APCO">#REF!</definedName>
    <definedName name="APCo_Hist_Allocators" localSheetId="20">#REF!</definedName>
    <definedName name="APCo_Hist_Allocators" localSheetId="1">#REF!</definedName>
    <definedName name="APCo_Hist_Allocators" localSheetId="13">#REF!</definedName>
    <definedName name="APCo_Hist_Allocators" localSheetId="18">#REF!</definedName>
    <definedName name="APCo_Hist_Allocators">TCOS!#REF!</definedName>
    <definedName name="APCo_Proj_Allocators" localSheetId="13">#REF!</definedName>
    <definedName name="APCo_Proj_Allocators">#REF!</definedName>
    <definedName name="APCo_TU_Allocators" localSheetId="13">#REF!</definedName>
    <definedName name="APCo_TU_Allocators">#REF!</definedName>
    <definedName name="AVRGPWRFCTR">#REF!</definedName>
    <definedName name="B1HRSCRMO">#REF!</definedName>
    <definedName name="B2HRSCRMO">#REF!</definedName>
    <definedName name="BASERATECHG">#REF!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TTrueUp">#REF!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CALCPFCC">#REF!</definedName>
    <definedName name="CAPDEFA">#REF!</definedName>
    <definedName name="CBLKWH">#REF!</definedName>
    <definedName name="City">#REF!</definedName>
    <definedName name="CNTRCTDMND">#REF!</definedName>
    <definedName name="CoPhoneLine">#REF!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TMRCHG">#REF!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Year">#REF!</definedName>
    <definedName name="CustAddr1">#REF!</definedName>
    <definedName name="CustAddr2">#REF!</definedName>
    <definedName name="CustCityStZip">#REF!</definedName>
    <definedName name="CustName2">#REF!</definedName>
    <definedName name="CustTable">#REF!</definedName>
    <definedName name="DetailTotCbl">#REF!</definedName>
    <definedName name="DetailTotChg">#REF!</definedName>
    <definedName name="DetailTotKw">#REF!</definedName>
    <definedName name="DetailTotMargin">#REF!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XOfpKvaChg">#REF!</definedName>
    <definedName name="DisXOfpKwChg">#REF!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EDRBASE">#REF!</definedName>
    <definedName name="EDRDATE">#REF!</definedName>
    <definedName name="EDRDSCNT">#REF!</definedName>
    <definedName name="EDRLVLPCT">#REF!</definedName>
    <definedName name="EDRTYPE">#REF!</definedName>
    <definedName name="EffDate">#REF!</definedName>
    <definedName name="ELKMCGN1">#REF!</definedName>
    <definedName name="ELKMCGN2">#REF!</definedName>
    <definedName name="ENDDTM">#REF!</definedName>
    <definedName name="ENDTIME">#REF!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XCSKVACHG">#REF!</definedName>
    <definedName name="EXCSKVADMND">#REF!</definedName>
    <definedName name="EXCSKVAR">#REF!</definedName>
    <definedName name="FIRMKWH">#REF!</definedName>
    <definedName name="FIRSTDAY">#REF!</definedName>
    <definedName name="FRMCPCT">#REF!</definedName>
    <definedName name="FUELCHG">#REF!</definedName>
    <definedName name="FUELRATE">#REF!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HIPREKW">#REF!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IM_Allocators" localSheetId="20">#REF!</definedName>
    <definedName name="IM_Allocators" localSheetId="1">#REF!</definedName>
    <definedName name="IM_Allocators" localSheetId="13">#REF!</definedName>
    <definedName name="IM_Allocators" localSheetId="18">#REF!</definedName>
    <definedName name="IM_Allocators">TCOS!#REF!</definedName>
    <definedName name="IMCO">#REF!</definedName>
    <definedName name="InterruptCapacity">#REF!</definedName>
    <definedName name="InterruptOfpCapacity">#REF!</definedName>
    <definedName name="InterruptType">#REF!</definedName>
    <definedName name="INTRPBLCAP">#REF!</definedName>
    <definedName name="Invdetails">#REF!</definedName>
    <definedName name="KWCHG">#REF!</definedName>
    <definedName name="KWH1NOCMM">#REF!</definedName>
    <definedName name="KWH3NOCMM">#REF!</definedName>
    <definedName name="KWHCHG">#REF!</definedName>
    <definedName name="LASTDAY">#REF!</definedName>
    <definedName name="LASTFUEL">#REF!</definedName>
    <definedName name="LASTMSRR">#REF!</definedName>
    <definedName name="LASTPFCC">#REF!</definedName>
    <definedName name="LDFCTR">#REF!</definedName>
    <definedName name="LRCREDIT">#REF!</definedName>
    <definedName name="M_A" localSheetId="20">#REF!</definedName>
    <definedName name="M_A" localSheetId="1">#REF!</definedName>
    <definedName name="M_A" localSheetId="13">#REF!</definedName>
    <definedName name="M_A" localSheetId="18">#REF!</definedName>
    <definedName name="M_A">'WS I RESERVED'!#REF!</definedName>
    <definedName name="MACC1">#REF!</definedName>
    <definedName name="MACC2">#REF!</definedName>
    <definedName name="MAINTHRSCRMO">#REF!</definedName>
    <definedName name="MAINTKWH">#REF!</definedName>
    <definedName name="MinBillDem">#REF!</definedName>
    <definedName name="MinBillDem2">#REF!</definedName>
    <definedName name="MinBillDmd">#REF!</definedName>
    <definedName name="MSRRBLD">#REF!</definedName>
    <definedName name="MSRRCHG">#REF!</definedName>
    <definedName name="MTRMLTPLR1">#REF!</definedName>
    <definedName name="MTRMLTPLR2">#REF!</definedName>
    <definedName name="NETMRGCHG">#REF!</definedName>
    <definedName name="NODAYSINPRD">#REF!</definedName>
    <definedName name="NODELPOINTS">#REF!</definedName>
    <definedName name="NP_h" localSheetId="20">#REF!</definedName>
    <definedName name="NP_h" localSheetId="1">#REF!</definedName>
    <definedName name="NP_h" localSheetId="13">#REF!</definedName>
    <definedName name="NP_h" localSheetId="18">#REF!</definedName>
    <definedName name="NP_h">TCOS!$J$87</definedName>
    <definedName name="NP_h1">#REF!</definedName>
    <definedName name="NPh" localSheetId="13">#REF!</definedName>
    <definedName name="NPh">TCOS!$J$87</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#REF!</definedName>
    <definedName name="OFPKBILLKWH">#REF!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PCBLKW">#REF!</definedName>
    <definedName name="OPCO">#REF!</definedName>
    <definedName name="OPXCSKW">#REF!</definedName>
    <definedName name="OPXCSKWDT">#REF!</definedName>
    <definedName name="OPXCSKWH">#REF!</definedName>
    <definedName name="OPXCSKWTM">#REF!</definedName>
    <definedName name="OTHRTRNSKWH">#REF!</definedName>
    <definedName name="P1PENPERC">#REF!</definedName>
    <definedName name="P2PENPERC">#REF!</definedName>
    <definedName name="PeakDemandChg">#REF!</definedName>
    <definedName name="PenaltyDays">#REF!</definedName>
    <definedName name="PenaltyPct">#REF!</definedName>
    <definedName name="PENDAYS">#REF!</definedName>
    <definedName name="PENDAYS2">#REF!</definedName>
    <definedName name="PFCC">#REF!</definedName>
    <definedName name="PKKVAR">#REF!</definedName>
    <definedName name="PKKVARDATE">#REF!</definedName>
    <definedName name="PKKVARTIME">#REF!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_xlnm.Print_Area" localSheetId="0">TCOS!$A$1:$L$388</definedName>
    <definedName name="_xlnm.Print_Area" localSheetId="20">'Worksheet O'!$A$1:$D$37</definedName>
    <definedName name="_xlnm.Print_Area" localSheetId="2">'WS B ADIT &amp; ITC'!$A$3:$I$56</definedName>
    <definedName name="_xlnm.Print_Area" localSheetId="8">'WS D IPP Credits'!$A$3:$E$28</definedName>
    <definedName name="_xlnm.Print_Area" localSheetId="9">'WS E Rev Credits'!$A$3:$K$38</definedName>
    <definedName name="_xlnm.Print_Area" localSheetId="10">'WS F Misc Exp'!$A$3:$G$74</definedName>
    <definedName name="_xlnm.Print_Area" localSheetId="11">'WS G  State Tax Rate'!$A$3:$H$34</definedName>
    <definedName name="_xlnm.Print_Area" localSheetId="12">'WS H-p1 Other Taxes'!$A$3:$M$71</definedName>
    <definedName name="_xlnm.Print_Area" localSheetId="13">'WS H-p2 Detail of Tax Amts'!$A$1:$I$112</definedName>
    <definedName name="_xlnm.Print_Area" localSheetId="14">'WS I RESERVED'!$A$3:$J$6</definedName>
    <definedName name="_xlnm.Print_Area" localSheetId="15">'WS J PROJECTED RTEP RR'!$A$1:$O$170</definedName>
    <definedName name="_xlnm.Print_Area" localSheetId="16">'WS K TRUE-UP RTEP RR'!$A$1:$P$166</definedName>
    <definedName name="_xlnm.Print_Area" localSheetId="17">'WS L RESERVED'!$A$3:$F$9</definedName>
    <definedName name="_xlnm.Print_Area" localSheetId="19">'WS N - Sale of Plant Held'!$A$3:$U$35</definedName>
    <definedName name="_xlnm.Print_Area" localSheetId="21">'WS P Dep. Rates'!$A$1:$F$37</definedName>
    <definedName name="_xlnm.Print_Area" localSheetId="22">'WS Q Cap Structure'!$A$1:$J$237</definedName>
    <definedName name="_xlnm.Print_Area" localSheetId="23">'WS R Interest'!$A$1:$L$61</definedName>
    <definedName name="_xlnm.Print_Area">#REF!</definedName>
    <definedName name="_xlnm.Print_Titles" localSheetId="1">'WS A - Rate Base Support'!$1:$5</definedName>
    <definedName name="_xlnm.Print_Titles" localSheetId="7">'WS C  - Working Capital'!$3:$9</definedName>
    <definedName name="_xlnm.Print_Titles" localSheetId="12">'WS H-p1 Other Taxes'!$3:$7</definedName>
    <definedName name="_xlnm.Print_Titles" localSheetId="13">'WS H-p2 Detail of Tax Amts'!$3:$6</definedName>
    <definedName name="_xlnm.Print_Titles" localSheetId="18">'WS M - Cost of Capital'!$1:$5</definedName>
    <definedName name="_xlnm.Print_Titles" localSheetId="21">'WS P Dep. Rates'!$5:$11</definedName>
    <definedName name="PRVCNT">#REF!</definedName>
    <definedName name="PRVDATE">#REF!</definedName>
    <definedName name="PRVFUEL">#REF!</definedName>
    <definedName name="PRVKW">#REF!</definedName>
    <definedName name="PRVKWH">#REF!</definedName>
    <definedName name="PRVMSRR">#REF!</definedName>
    <definedName name="PRVPFCC">#REF!</definedName>
    <definedName name="PSO_Proj_Allocators" localSheetId="13">#REF!</definedName>
    <definedName name="PSO_Proj_Allocators">#REF!</definedName>
    <definedName name="PSOallocatorsP">#REF!</definedName>
    <definedName name="PVHIOFPCBL">#REF!</definedName>
    <definedName name="PVHIOPCBL">#REF!</definedName>
    <definedName name="RatchetFactor">#REF!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_xlnm.Recorder">#REF!</definedName>
    <definedName name="Reserved_Section">#REF!</definedName>
    <definedName name="RIDERS">#REF!</definedName>
    <definedName name="RKVAHRDNG">#REF!</definedName>
    <definedName name="RTCHTCNTRCTCPCT">#REF!</definedName>
    <definedName name="RTCHTFCTR">#REF!</definedName>
    <definedName name="RTCHTFCTR2">#REF!</definedName>
    <definedName name="RTCHTHIPREVKW">#REF!</definedName>
    <definedName name="RTP_Detail">#REF!</definedName>
    <definedName name="RTPLRKW">#REF!</definedName>
    <definedName name="SDI">#REF!</definedName>
    <definedName name="SHLDRPKKW">#REF!</definedName>
    <definedName name="SHLDRPKKWDT">#REF!</definedName>
    <definedName name="SHLDRPKKWTM">#REF!</definedName>
    <definedName name="SHRDTRNSKWH">#REF!</definedName>
    <definedName name="SRPLSKWH">#REF!</definedName>
    <definedName name="STARTDTM">#REF!</definedName>
    <definedName name="State">#REF!</definedName>
    <definedName name="STDKW">#REF!</definedName>
    <definedName name="STDKWDT">#REF!</definedName>
    <definedName name="STDKWTM">#REF!</definedName>
    <definedName name="STRTTIME">#REF!</definedName>
    <definedName name="SWP_Proj_Allocators">#REF!</definedName>
    <definedName name="SWPallocatorsH">#REF!</definedName>
    <definedName name="SWPallocatorsP">#REF!</definedName>
    <definedName name="SYSPKKW">#REF!</definedName>
    <definedName name="SYSPKKWDT">#REF!</definedName>
    <definedName name="SYSPKKWTM">#REF!</definedName>
    <definedName name="TARIFF1">#REF!</definedName>
    <definedName name="TARIFF2">#REF!</definedName>
    <definedName name="TariffCode">#REF!</definedName>
    <definedName name="TariffLongName">#REF!</definedName>
    <definedName name="TariffShortName">#REF!</definedName>
    <definedName name="TAXDATE">#REF!</definedName>
    <definedName name="TAXES">#REF!</definedName>
    <definedName name="TAXNAME">#REF!</definedName>
    <definedName name="TAXRATE">#REF!</definedName>
    <definedName name="TAXTYPE">#REF!</definedName>
    <definedName name="TCst">#REF!</definedName>
    <definedName name="TCst1">#REF!</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LsFctr">#REF!</definedName>
    <definedName name="TRCRDKWH">#REF!</definedName>
    <definedName name="TRCRDKWH2P">#REF!</definedName>
    <definedName name="TRFDATE1">#REF!</definedName>
    <definedName name="TRFDATE2">#REF!</definedName>
    <definedName name="TRFNAME1">#REF!</definedName>
    <definedName name="TRFNAME2">#REF!</definedName>
    <definedName name="TRFSHORTNM1">#REF!</definedName>
    <definedName name="TRFSHORTNM2">#REF!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TLBSRATETTL">#REF!</definedName>
    <definedName name="TTLCOGENKWH">#REF!</definedName>
    <definedName name="UNBUNDIND">#REF!</definedName>
    <definedName name="Z_3768C7C8_9953_11DA_B318_000FB55D51DC_.wvu.PrintArea" localSheetId="20" hidden="1">'Worksheet O'!#REF!</definedName>
    <definedName name="Z_3768C7C8_9953_11DA_B318_000FB55D51DC_.wvu.PrintArea" localSheetId="7" hidden="1">'WS C  - Working Capital'!$A$10:$N$82</definedName>
    <definedName name="Z_3768C7C8_9953_11DA_B318_000FB55D51DC_.wvu.PrintTitles" localSheetId="20" hidden="1">'Worksheet O'!#REF!</definedName>
    <definedName name="Z_3768C7C8_9953_11DA_B318_000FB55D51DC_.wvu.PrintTitles" localSheetId="7" hidden="1">'WS C  - Working Capital'!#REF!</definedName>
    <definedName name="Z_3768C7C8_9953_11DA_B318_000FB55D51DC_.wvu.Rows" localSheetId="20" hidden="1">'Worksheet O'!#REF!</definedName>
    <definedName name="Z_3768C7C8_9953_11DA_B318_000FB55D51DC_.wvu.Rows" localSheetId="7" hidden="1">'WS C  - Working Capital'!#REF!</definedName>
    <definedName name="Z_3BDD6235_B127_4929_8311_BDAF7BB89818_.wvu.PrintArea" localSheetId="20" hidden="1">'Worksheet O'!#REF!</definedName>
    <definedName name="Z_3BDD6235_B127_4929_8311_BDAF7BB89818_.wvu.PrintArea" localSheetId="7" hidden="1">'WS C  - Working Capital'!$A$10:$N$82</definedName>
    <definedName name="Z_3BDD6235_B127_4929_8311_BDAF7BB89818_.wvu.PrintTitles" localSheetId="20" hidden="1">'Worksheet O'!#REF!</definedName>
    <definedName name="Z_3BDD6235_B127_4929_8311_BDAF7BB89818_.wvu.PrintTitles" localSheetId="7" hidden="1">'WS C  - Working Capital'!#REF!</definedName>
    <definedName name="Z_3BDD6235_B127_4929_8311_BDAF7BB89818_.wvu.Rows" localSheetId="20" hidden="1">'Worksheet O'!#REF!</definedName>
    <definedName name="Z_3BDD6235_B127_4929_8311_BDAF7BB89818_.wvu.Rows" localSheetId="7" hidden="1">'WS C  - Working Capital'!#REF!</definedName>
    <definedName name="Z_B0241363_5C8A_48FC_89A6_56D55586BABE_.wvu.PrintArea" localSheetId="20" hidden="1">'Worksheet O'!#REF!</definedName>
    <definedName name="Z_B0241363_5C8A_48FC_89A6_56D55586BABE_.wvu.PrintArea" localSheetId="7" hidden="1">'WS C  - Working Capital'!$A$10:$N$82</definedName>
    <definedName name="Z_B0241363_5C8A_48FC_89A6_56D55586BABE_.wvu.PrintTitles" localSheetId="20" hidden="1">'Worksheet O'!#REF!</definedName>
    <definedName name="Z_B0241363_5C8A_48FC_89A6_56D55586BABE_.wvu.PrintTitles" localSheetId="7" hidden="1">'WS C  - Working Capital'!#REF!</definedName>
    <definedName name="Z_B0241363_5C8A_48FC_89A6_56D55586BABE_.wvu.Rows" localSheetId="20" hidden="1">'Worksheet O'!#REF!</definedName>
    <definedName name="Z_B0241363_5C8A_48FC_89A6_56D55586BABE_.wvu.Rows" localSheetId="7" hidden="1">'WS C  - Working Capital'!#REF!</definedName>
    <definedName name="Z_C0EA0F9F_7310_4201_82C9_7B8FC8DB9137_.wvu.PrintArea" localSheetId="20" hidden="1">'Worksheet O'!#REF!</definedName>
    <definedName name="Z_C0EA0F9F_7310_4201_82C9_7B8FC8DB9137_.wvu.PrintArea" localSheetId="7" hidden="1">'WS C  - Working Capital'!$A$10:$N$82</definedName>
    <definedName name="Z_C0EA0F9F_7310_4201_82C9_7B8FC8DB9137_.wvu.PrintTitles" localSheetId="20" hidden="1">'Worksheet O'!#REF!</definedName>
    <definedName name="Z_C0EA0F9F_7310_4201_82C9_7B8FC8DB9137_.wvu.PrintTitles" localSheetId="7" hidden="1">'WS C  - Working Capital'!#REF!</definedName>
    <definedName name="Z_C0EA0F9F_7310_4201_82C9_7B8FC8DB9137_.wvu.Rows" localSheetId="20" hidden="1">'Worksheet O'!#REF!</definedName>
    <definedName name="Z_C0EA0F9F_7310_4201_82C9_7B8FC8DB9137_.wvu.Rows" localSheetId="7" hidden="1">'WS C  - Working Capital'!#REF!</definedName>
    <definedName name="Z_C5140E12_E05E_4473_9142_42F37320A417_.wvu.Cols" localSheetId="13" hidden="1">'WS H-p2 Detail of Tax Amts'!$F:$F</definedName>
    <definedName name="Z_C5140E12_E05E_4473_9142_42F37320A417_.wvu.PrintArea" localSheetId="13" hidden="1">'WS H-p2 Detail of Tax Amts'!$A$3:$F$103</definedName>
    <definedName name="Z_C5140E12_E05E_4473_9142_42F37320A417_.wvu.PrintArea" localSheetId="15" hidden="1">'WS J PROJECTED RTEP RR'!$A$3:$O$83</definedName>
    <definedName name="Z_C5140E12_E05E_4473_9142_42F37320A417_.wvu.PrintTitles" localSheetId="13" hidden="1">'WS H-p2 Detail of Tax Amts'!$3:$6</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37" l="1"/>
  <c r="D43" i="37"/>
  <c r="G43" i="37" l="1"/>
  <c r="P30" i="41" l="1"/>
  <c r="D16" i="40" l="1"/>
  <c r="D18" i="40" s="1"/>
  <c r="P24" i="41" l="1"/>
  <c r="P23" i="41"/>
  <c r="P22" i="41"/>
  <c r="P21" i="41"/>
  <c r="Q20" i="41"/>
  <c r="J36" i="36" l="1"/>
  <c r="K36" i="36"/>
  <c r="I36" i="36"/>
  <c r="C36" i="36"/>
  <c r="J32" i="37"/>
  <c r="J33" i="37"/>
  <c r="K33" i="37"/>
  <c r="I33" i="37"/>
  <c r="C33" i="37"/>
  <c r="K32" i="37"/>
  <c r="I32" i="37"/>
  <c r="C32" i="37"/>
  <c r="J19" i="37"/>
  <c r="K20" i="37"/>
  <c r="J20" i="37"/>
  <c r="I20" i="37"/>
  <c r="D20" i="37"/>
  <c r="C20" i="37"/>
  <c r="K19" i="37"/>
  <c r="I19" i="37"/>
  <c r="C19" i="37"/>
  <c r="D36" i="36" l="1"/>
  <c r="G36" i="36" s="1"/>
  <c r="D32" i="37"/>
  <c r="G32" i="37" s="1"/>
  <c r="D33" i="37"/>
  <c r="G33" i="37" s="1"/>
  <c r="D19" i="37"/>
  <c r="G19" i="37" s="1"/>
  <c r="G20" i="37"/>
  <c r="I43" i="6" l="1"/>
  <c r="K43" i="6" s="1"/>
  <c r="E43" i="6" s="1"/>
  <c r="D56" i="36"/>
  <c r="C56" i="36"/>
  <c r="D41" i="36"/>
  <c r="C41" i="36"/>
  <c r="G56" i="36" l="1"/>
  <c r="G41" i="36"/>
  <c r="G165" i="2" l="1"/>
  <c r="E107" i="2" l="1"/>
  <c r="E86" i="2"/>
  <c r="H230" i="2"/>
  <c r="I66" i="6" l="1"/>
  <c r="K66" i="6" s="1"/>
  <c r="I65" i="6"/>
  <c r="K65" i="6" s="1"/>
  <c r="I19" i="6"/>
  <c r="H62" i="38"/>
  <c r="G62" i="38"/>
  <c r="L221" i="2" s="1"/>
  <c r="I42" i="38"/>
  <c r="G79" i="2" s="1"/>
  <c r="H42" i="38"/>
  <c r="G78" i="2" s="1"/>
  <c r="I23" i="38"/>
  <c r="G69" i="2" s="1"/>
  <c r="H23" i="38"/>
  <c r="G68" i="2" s="1"/>
  <c r="L220" i="2" s="1"/>
  <c r="F27" i="10"/>
  <c r="F23" i="10"/>
  <c r="F19" i="10"/>
  <c r="F15" i="10"/>
  <c r="G86" i="2" l="1"/>
  <c r="L222" i="2"/>
  <c r="L224" i="2" s="1"/>
  <c r="E66" i="6"/>
  <c r="E65" i="6"/>
  <c r="J79" i="2" l="1"/>
  <c r="L79" i="2" s="1"/>
  <c r="J153" i="2"/>
  <c r="L153" i="2" s="1"/>
  <c r="J164" i="2"/>
  <c r="L164" i="2" s="1"/>
  <c r="J107" i="2"/>
  <c r="J69" i="2"/>
  <c r="L69" i="2" s="1"/>
  <c r="J78" i="2"/>
  <c r="L78" i="2" s="1"/>
  <c r="J230" i="2"/>
  <c r="L230" i="2" s="1"/>
  <c r="J68" i="2"/>
  <c r="L68" i="2" s="1"/>
  <c r="L86" i="2" l="1"/>
  <c r="D51" i="36" l="1"/>
  <c r="D50" i="36"/>
  <c r="C51" i="36"/>
  <c r="C50" i="36"/>
  <c r="K51" i="36"/>
  <c r="I51" i="36"/>
  <c r="K50" i="36"/>
  <c r="I50" i="36"/>
  <c r="A51" i="36"/>
  <c r="A52" i="36" s="1"/>
  <c r="A53" i="36" s="1"/>
  <c r="A54" i="36" s="1"/>
  <c r="A55" i="36" s="1"/>
  <c r="A56" i="36" s="1"/>
  <c r="A57" i="36" s="1"/>
  <c r="D29" i="36"/>
  <c r="D30" i="36"/>
  <c r="D31" i="36"/>
  <c r="D32" i="36"/>
  <c r="D33" i="36"/>
  <c r="D34" i="36"/>
  <c r="D35" i="36"/>
  <c r="D28" i="36"/>
  <c r="C30" i="36"/>
  <c r="C32" i="36"/>
  <c r="C33" i="36"/>
  <c r="C34" i="36"/>
  <c r="K35" i="36"/>
  <c r="I35" i="36"/>
  <c r="K34" i="36"/>
  <c r="I34" i="36"/>
  <c r="K33" i="36"/>
  <c r="I33" i="36"/>
  <c r="K32" i="36"/>
  <c r="I32" i="36"/>
  <c r="K31" i="36"/>
  <c r="I31" i="36"/>
  <c r="K30" i="36"/>
  <c r="I30" i="36"/>
  <c r="K29" i="36"/>
  <c r="I29" i="36"/>
  <c r="K28" i="36"/>
  <c r="I28" i="36"/>
  <c r="D18" i="37"/>
  <c r="D21" i="37"/>
  <c r="D22" i="37"/>
  <c r="D23" i="37"/>
  <c r="D24" i="37"/>
  <c r="D25" i="37"/>
  <c r="D26" i="37"/>
  <c r="D27" i="37"/>
  <c r="D28" i="37"/>
  <c r="D29" i="37"/>
  <c r="D30" i="37"/>
  <c r="D31" i="37"/>
  <c r="D34" i="37"/>
  <c r="D17" i="37"/>
  <c r="C18" i="37"/>
  <c r="C23" i="37"/>
  <c r="C25" i="37"/>
  <c r="C26" i="37"/>
  <c r="C30" i="37"/>
  <c r="C31" i="37"/>
  <c r="C34" i="37"/>
  <c r="C17" i="37"/>
  <c r="I17" i="37"/>
  <c r="K17" i="37"/>
  <c r="I18" i="37"/>
  <c r="K18" i="37"/>
  <c r="I21" i="37"/>
  <c r="K21" i="37"/>
  <c r="I22" i="37"/>
  <c r="K22" i="37"/>
  <c r="I23" i="37"/>
  <c r="K23" i="37"/>
  <c r="I24" i="37"/>
  <c r="K24" i="37"/>
  <c r="I25" i="37"/>
  <c r="K25" i="37"/>
  <c r="I26" i="37"/>
  <c r="K26" i="37"/>
  <c r="I27" i="37"/>
  <c r="K27" i="37"/>
  <c r="I28" i="37"/>
  <c r="K28" i="37"/>
  <c r="I29" i="37"/>
  <c r="K29" i="37"/>
  <c r="I30" i="37"/>
  <c r="K30" i="37"/>
  <c r="I31" i="37"/>
  <c r="K31" i="37"/>
  <c r="I34" i="37"/>
  <c r="K34" i="37"/>
  <c r="J35" i="36" l="1"/>
  <c r="J29" i="36"/>
  <c r="J31" i="36"/>
  <c r="J51" i="36"/>
  <c r="G50" i="36"/>
  <c r="J50" i="36"/>
  <c r="G51" i="36"/>
  <c r="J32" i="36"/>
  <c r="J28" i="36"/>
  <c r="C28" i="36"/>
  <c r="G28" i="36" s="1"/>
  <c r="J34" i="36"/>
  <c r="J33" i="36"/>
  <c r="J30" i="36"/>
  <c r="C31" i="36"/>
  <c r="G31" i="36" s="1"/>
  <c r="C29" i="36"/>
  <c r="G29" i="36" s="1"/>
  <c r="C35" i="36"/>
  <c r="G35" i="36" s="1"/>
  <c r="G32" i="36"/>
  <c r="G34" i="36"/>
  <c r="G33" i="36"/>
  <c r="G30" i="36"/>
  <c r="J28" i="37"/>
  <c r="J24" i="37"/>
  <c r="J29" i="37"/>
  <c r="J21" i="37"/>
  <c r="J31" i="37"/>
  <c r="G30" i="37"/>
  <c r="C24" i="37"/>
  <c r="G24" i="37" s="1"/>
  <c r="J30" i="37"/>
  <c r="J22" i="37"/>
  <c r="C21" i="37"/>
  <c r="G21" i="37" s="1"/>
  <c r="J23" i="37"/>
  <c r="C22" i="37"/>
  <c r="G22" i="37" s="1"/>
  <c r="J27" i="37"/>
  <c r="G31" i="37"/>
  <c r="C29" i="37"/>
  <c r="G29" i="37" s="1"/>
  <c r="C28" i="37"/>
  <c r="G28" i="37" s="1"/>
  <c r="J18" i="37"/>
  <c r="G26" i="37"/>
  <c r="J25" i="37"/>
  <c r="J34" i="37"/>
  <c r="G23" i="37"/>
  <c r="C27" i="37"/>
  <c r="G27" i="37" s="1"/>
  <c r="J26" i="37"/>
  <c r="G25" i="37"/>
  <c r="G18" i="37"/>
  <c r="J17" i="37"/>
  <c r="G17" i="37"/>
  <c r="G34" i="37"/>
  <c r="F11" i="10" l="1"/>
  <c r="F29" i="10" s="1"/>
  <c r="C39" i="35" l="1"/>
  <c r="C40" i="35" s="1"/>
  <c r="C41" i="35" s="1"/>
  <c r="C42" i="35" s="1"/>
  <c r="C43" i="35" s="1"/>
  <c r="C44" i="35" s="1"/>
  <c r="C45" i="35" s="1"/>
  <c r="C46" i="35" s="1"/>
  <c r="C47" i="35" s="1"/>
  <c r="C48" i="35" s="1"/>
  <c r="C49" i="35" s="1"/>
  <c r="C50" i="35" s="1"/>
  <c r="C36" i="35"/>
  <c r="C21" i="35"/>
  <c r="C22" i="35" s="1"/>
  <c r="C23" i="35" s="1"/>
  <c r="C24" i="35" s="1"/>
  <c r="C25" i="35" s="1"/>
  <c r="C26" i="35" s="1"/>
  <c r="C27" i="35" s="1"/>
  <c r="C28" i="35" s="1"/>
  <c r="C29" i="35" s="1"/>
  <c r="C30" i="35" s="1"/>
  <c r="C31" i="35" s="1"/>
  <c r="C32" i="35" s="1"/>
  <c r="C65" i="36" l="1"/>
  <c r="D65" i="36"/>
  <c r="G65" i="36" l="1"/>
  <c r="K17" i="8" l="1"/>
  <c r="J52" i="36" l="1"/>
  <c r="D37" i="36"/>
  <c r="F38" i="36" s="1"/>
  <c r="F21" i="42"/>
  <c r="D18" i="42"/>
  <c r="D19" i="42" s="1"/>
  <c r="L15" i="42"/>
  <c r="O15" i="42" s="1"/>
  <c r="H15" i="42"/>
  <c r="A15" i="42"/>
  <c r="A17" i="42" s="1"/>
  <c r="A18" i="42" s="1"/>
  <c r="A19" i="42" s="1"/>
  <c r="A21" i="42" s="1"/>
  <c r="J13" i="42"/>
  <c r="L13" i="42" s="1"/>
  <c r="H13" i="42"/>
  <c r="D30" i="40"/>
  <c r="D23" i="40"/>
  <c r="G233" i="2"/>
  <c r="D55" i="36"/>
  <c r="D54" i="36"/>
  <c r="D42" i="36"/>
  <c r="D40" i="36"/>
  <c r="D39" i="37"/>
  <c r="D38" i="37"/>
  <c r="D37" i="37"/>
  <c r="E68" i="9"/>
  <c r="F70" i="9"/>
  <c r="E67" i="9"/>
  <c r="E49" i="9"/>
  <c r="E50" i="9"/>
  <c r="E48" i="9"/>
  <c r="E37" i="9"/>
  <c r="F39" i="9"/>
  <c r="F44" i="9" s="1"/>
  <c r="G149" i="2" s="1"/>
  <c r="E36" i="9"/>
  <c r="J21" i="8"/>
  <c r="I42" i="6"/>
  <c r="K42" i="6" s="1"/>
  <c r="E42" i="6" s="1"/>
  <c r="K35" i="37"/>
  <c r="I35" i="37"/>
  <c r="C35" i="37"/>
  <c r="E36" i="37" s="1"/>
  <c r="K52" i="36"/>
  <c r="I52" i="36"/>
  <c r="C52" i="36"/>
  <c r="E53" i="36" s="1"/>
  <c r="K37" i="36"/>
  <c r="I37" i="36"/>
  <c r="C37" i="36"/>
  <c r="E38" i="36" s="1"/>
  <c r="N61" i="36"/>
  <c r="N67" i="36" s="1"/>
  <c r="N45" i="36"/>
  <c r="L43" i="2"/>
  <c r="E42" i="5"/>
  <c r="G42" i="5"/>
  <c r="E34" i="5"/>
  <c r="G34" i="5"/>
  <c r="E26" i="5"/>
  <c r="G26" i="5"/>
  <c r="E18" i="5"/>
  <c r="G18" i="5"/>
  <c r="O33" i="41"/>
  <c r="N33" i="41"/>
  <c r="L33" i="41"/>
  <c r="K33" i="41"/>
  <c r="B33" i="41"/>
  <c r="P29" i="41"/>
  <c r="M33" i="41"/>
  <c r="P28" i="41"/>
  <c r="P19" i="41"/>
  <c r="Q18" i="41"/>
  <c r="P17" i="41"/>
  <c r="P16" i="41"/>
  <c r="Q15" i="41"/>
  <c r="Q14" i="41"/>
  <c r="P13" i="41"/>
  <c r="F64" i="9"/>
  <c r="G150" i="2" s="1"/>
  <c r="C37" i="37"/>
  <c r="C38" i="37"/>
  <c r="C40" i="37"/>
  <c r="D40" i="37"/>
  <c r="C41" i="37"/>
  <c r="D41" i="37"/>
  <c r="C42" i="37"/>
  <c r="D42" i="37"/>
  <c r="C39" i="37"/>
  <c r="C54" i="36"/>
  <c r="C55" i="36"/>
  <c r="C57" i="36"/>
  <c r="D57" i="36"/>
  <c r="C58" i="36"/>
  <c r="D58" i="36"/>
  <c r="C40" i="36"/>
  <c r="C42" i="36"/>
  <c r="D39" i="36"/>
  <c r="C39" i="36"/>
  <c r="K44" i="37"/>
  <c r="J44" i="37"/>
  <c r="I44" i="37"/>
  <c r="D44" i="37"/>
  <c r="C44" i="37"/>
  <c r="D32" i="32"/>
  <c r="D30" i="32"/>
  <c r="D29" i="32"/>
  <c r="N26" i="20"/>
  <c r="M26" i="20"/>
  <c r="G21" i="35"/>
  <c r="J270" i="2"/>
  <c r="H22" i="35"/>
  <c r="H23" i="35" s="1"/>
  <c r="H24" i="35" s="1"/>
  <c r="H25" i="35" s="1"/>
  <c r="H26" i="35" s="1"/>
  <c r="H27" i="35" s="1"/>
  <c r="H28" i="35" s="1"/>
  <c r="H29" i="35" s="1"/>
  <c r="H30" i="35" s="1"/>
  <c r="H31" i="35" s="1"/>
  <c r="H32" i="35" s="1"/>
  <c r="I10" i="35"/>
  <c r="E21" i="35" s="1"/>
  <c r="E22" i="35" s="1"/>
  <c r="E23" i="35" s="1"/>
  <c r="E24" i="35" s="1"/>
  <c r="E25" i="35" s="1"/>
  <c r="E26" i="35" s="1"/>
  <c r="E27" i="35" s="1"/>
  <c r="E28" i="35" s="1"/>
  <c r="E29" i="35" s="1"/>
  <c r="E30" i="35" s="1"/>
  <c r="E31" i="35" s="1"/>
  <c r="E32" i="35" s="1"/>
  <c r="G10" i="35"/>
  <c r="C10" i="35"/>
  <c r="F62" i="38"/>
  <c r="E62" i="38"/>
  <c r="L213" i="2" s="1"/>
  <c r="D62" i="38"/>
  <c r="C62" i="38"/>
  <c r="L214" i="2" s="1"/>
  <c r="A7" i="40"/>
  <c r="A4" i="40"/>
  <c r="A3" i="40"/>
  <c r="A12" i="40"/>
  <c r="A15" i="40" s="1"/>
  <c r="A16" i="40" s="1"/>
  <c r="A17" i="40" s="1"/>
  <c r="A18" i="40" s="1"/>
  <c r="A19" i="40" s="1"/>
  <c r="A20" i="40" s="1"/>
  <c r="A21" i="40" s="1"/>
  <c r="B48" i="39"/>
  <c r="A4" i="39"/>
  <c r="B60" i="39" s="1"/>
  <c r="A1" i="39"/>
  <c r="C62" i="39"/>
  <c r="Q10" i="37"/>
  <c r="M10" i="37"/>
  <c r="F13" i="37"/>
  <c r="E13" i="37"/>
  <c r="D13" i="37"/>
  <c r="C13" i="37"/>
  <c r="B3" i="37"/>
  <c r="Q10" i="36"/>
  <c r="M10" i="36"/>
  <c r="C13" i="36"/>
  <c r="F13" i="36"/>
  <c r="D13" i="36"/>
  <c r="E13" i="36"/>
  <c r="B3" i="36"/>
  <c r="A1" i="38"/>
  <c r="F67" i="38"/>
  <c r="E67" i="38"/>
  <c r="D67" i="38"/>
  <c r="L240" i="2"/>
  <c r="F68" i="39"/>
  <c r="E68" i="39"/>
  <c r="D68" i="39"/>
  <c r="C68" i="39"/>
  <c r="E50" i="39" s="1"/>
  <c r="A11" i="39"/>
  <c r="A12" i="39" s="1"/>
  <c r="A13" i="39" s="1"/>
  <c r="A14" i="39" s="1"/>
  <c r="A15" i="39" s="1"/>
  <c r="A16" i="39" s="1"/>
  <c r="A17" i="39" s="1"/>
  <c r="A18" i="39" s="1"/>
  <c r="A19" i="39" s="1"/>
  <c r="A20" i="39" s="1"/>
  <c r="A21" i="39" s="1"/>
  <c r="A22" i="39" s="1"/>
  <c r="A23" i="39" s="1"/>
  <c r="E243" i="2" s="1"/>
  <c r="A2" i="39"/>
  <c r="B6" i="14"/>
  <c r="A6" i="13"/>
  <c r="J77" i="13" s="1"/>
  <c r="A6" i="20"/>
  <c r="A82" i="20" s="1"/>
  <c r="A6" i="31"/>
  <c r="A6" i="11"/>
  <c r="A6" i="10"/>
  <c r="A6" i="9"/>
  <c r="A6" i="8"/>
  <c r="B36" i="8" s="1"/>
  <c r="A6" i="7"/>
  <c r="B26" i="7" s="1"/>
  <c r="A6" i="6"/>
  <c r="A6" i="5"/>
  <c r="A4" i="38"/>
  <c r="Q27" i="21"/>
  <c r="Q22" i="21"/>
  <c r="Q17" i="21"/>
  <c r="D48" i="38"/>
  <c r="C48" i="38"/>
  <c r="F28" i="38"/>
  <c r="D28" i="38"/>
  <c r="A69" i="38"/>
  <c r="A71" i="38" s="1"/>
  <c r="A75" i="38" s="1"/>
  <c r="A76" i="38" s="1"/>
  <c r="A77" i="38" s="1"/>
  <c r="A78" i="38" s="1"/>
  <c r="A79" i="38" s="1"/>
  <c r="A80" i="38" s="1"/>
  <c r="E87" i="38"/>
  <c r="D87" i="38"/>
  <c r="F86" i="38"/>
  <c r="F85" i="38"/>
  <c r="E80" i="38"/>
  <c r="D80" i="38"/>
  <c r="F79" i="38"/>
  <c r="F78" i="38"/>
  <c r="F77" i="38"/>
  <c r="F76" i="38"/>
  <c r="F75" i="38"/>
  <c r="F71" i="38"/>
  <c r="L98" i="2" s="1"/>
  <c r="F69" i="38"/>
  <c r="G98" i="2" s="1"/>
  <c r="A11" i="38"/>
  <c r="A12" i="38" s="1"/>
  <c r="A13" i="38" s="1"/>
  <c r="A14" i="38" s="1"/>
  <c r="A15" i="38" s="1"/>
  <c r="A16" i="38" s="1"/>
  <c r="A17" i="38" s="1"/>
  <c r="A18" i="38" s="1"/>
  <c r="A19" i="38" s="1"/>
  <c r="A20" i="38" s="1"/>
  <c r="A21" i="38" s="1"/>
  <c r="A22" i="38" s="1"/>
  <c r="A23" i="38" s="1"/>
  <c r="A2" i="38"/>
  <c r="E40" i="31"/>
  <c r="E23" i="11" s="1"/>
  <c r="G23" i="11" s="1"/>
  <c r="I41" i="31"/>
  <c r="I40" i="31" s="1"/>
  <c r="I39" i="31"/>
  <c r="I38" i="31"/>
  <c r="I36" i="31"/>
  <c r="I35" i="31"/>
  <c r="I34" i="31"/>
  <c r="I33" i="31"/>
  <c r="I32" i="31"/>
  <c r="I31" i="31"/>
  <c r="I25" i="31"/>
  <c r="I26" i="31"/>
  <c r="I27" i="31"/>
  <c r="I28" i="31"/>
  <c r="I29" i="31"/>
  <c r="I24" i="31"/>
  <c r="D43" i="5"/>
  <c r="D42" i="5"/>
  <c r="D27" i="5"/>
  <c r="D19" i="5"/>
  <c r="B1" i="37"/>
  <c r="B1" i="36"/>
  <c r="S46" i="37"/>
  <c r="Q46" i="37"/>
  <c r="O46" i="37"/>
  <c r="N46" i="37"/>
  <c r="M46" i="37"/>
  <c r="S81" i="36"/>
  <c r="R81" i="36"/>
  <c r="E52" i="5" s="1"/>
  <c r="Q81" i="36"/>
  <c r="O81" i="36"/>
  <c r="N81" i="36"/>
  <c r="G52" i="5" s="1"/>
  <c r="M81" i="36"/>
  <c r="F81" i="36"/>
  <c r="E81" i="36"/>
  <c r="K79" i="36"/>
  <c r="J79" i="36"/>
  <c r="I79" i="36"/>
  <c r="D79" i="36"/>
  <c r="C79" i="36"/>
  <c r="K78" i="36"/>
  <c r="J78" i="36"/>
  <c r="I78" i="36"/>
  <c r="D78" i="36"/>
  <c r="C78" i="36"/>
  <c r="K64" i="36"/>
  <c r="J64" i="36"/>
  <c r="I64" i="36"/>
  <c r="D64" i="36"/>
  <c r="C64" i="36"/>
  <c r="A64" i="36"/>
  <c r="A67" i="36" s="1"/>
  <c r="D35" i="5" s="1"/>
  <c r="S61" i="36"/>
  <c r="S67" i="36" s="1"/>
  <c r="Q61" i="36"/>
  <c r="Q67" i="36" s="1"/>
  <c r="O61" i="36"/>
  <c r="O67" i="36" s="1"/>
  <c r="M61" i="36"/>
  <c r="M67" i="36" s="1"/>
  <c r="A58" i="36"/>
  <c r="A46" i="36"/>
  <c r="D26" i="5" s="1"/>
  <c r="S45" i="36"/>
  <c r="Q45" i="36"/>
  <c r="O45" i="36"/>
  <c r="M45" i="36"/>
  <c r="A24" i="36"/>
  <c r="D18" i="5" s="1"/>
  <c r="S23" i="36"/>
  <c r="R23" i="36"/>
  <c r="Q23" i="36"/>
  <c r="O23" i="36"/>
  <c r="N23" i="36"/>
  <c r="M23" i="36"/>
  <c r="F21" i="36"/>
  <c r="E21" i="36"/>
  <c r="F20" i="36"/>
  <c r="E20" i="36"/>
  <c r="F19" i="36"/>
  <c r="E19" i="36"/>
  <c r="K17" i="36"/>
  <c r="K23" i="36" s="1"/>
  <c r="J17" i="36"/>
  <c r="J23" i="36" s="1"/>
  <c r="I17" i="36"/>
  <c r="I23" i="36" s="1"/>
  <c r="D17" i="36"/>
  <c r="D23" i="36" s="1"/>
  <c r="C17" i="36"/>
  <c r="C23" i="36" s="1"/>
  <c r="B21" i="7"/>
  <c r="B11" i="7"/>
  <c r="K27" i="8"/>
  <c r="K31" i="8" s="1"/>
  <c r="G15" i="2" s="1"/>
  <c r="L15" i="2" s="1"/>
  <c r="F71" i="9"/>
  <c r="G10" i="5"/>
  <c r="E10" i="5"/>
  <c r="O8" i="13"/>
  <c r="C9" i="7"/>
  <c r="D12" i="9"/>
  <c r="E17" i="2"/>
  <c r="E41" i="9"/>
  <c r="A91" i="34"/>
  <c r="M54" i="11"/>
  <c r="I12" i="6"/>
  <c r="G12" i="6"/>
  <c r="I10" i="5"/>
  <c r="C31" i="32"/>
  <c r="D31" i="32" s="1"/>
  <c r="O159" i="13"/>
  <c r="M159" i="13"/>
  <c r="O158" i="13"/>
  <c r="M158" i="13"/>
  <c r="O157" i="13"/>
  <c r="M157" i="13"/>
  <c r="O156" i="13"/>
  <c r="M156" i="13"/>
  <c r="O155" i="13"/>
  <c r="M155" i="13"/>
  <c r="O154" i="13"/>
  <c r="M154" i="13"/>
  <c r="O153" i="13"/>
  <c r="M153" i="13"/>
  <c r="O152" i="13"/>
  <c r="M152" i="13"/>
  <c r="O151" i="13"/>
  <c r="M151" i="13"/>
  <c r="O150" i="13"/>
  <c r="M150" i="13"/>
  <c r="O149" i="13"/>
  <c r="M149" i="13"/>
  <c r="O148" i="13"/>
  <c r="M148" i="13"/>
  <c r="O147" i="13"/>
  <c r="M147" i="13"/>
  <c r="O146" i="13"/>
  <c r="M146" i="13"/>
  <c r="O145" i="13"/>
  <c r="M145" i="13"/>
  <c r="O144" i="13"/>
  <c r="M144" i="13"/>
  <c r="O143" i="13"/>
  <c r="M143" i="13"/>
  <c r="O142" i="13"/>
  <c r="M142" i="13"/>
  <c r="O141" i="13"/>
  <c r="M141" i="13"/>
  <c r="O140" i="13"/>
  <c r="M140" i="13"/>
  <c r="O139" i="13"/>
  <c r="M139" i="13"/>
  <c r="O138" i="13"/>
  <c r="M138" i="13"/>
  <c r="O137" i="13"/>
  <c r="M137" i="13"/>
  <c r="O136" i="13"/>
  <c r="M136" i="13"/>
  <c r="O135" i="13"/>
  <c r="M135" i="13"/>
  <c r="O134" i="13"/>
  <c r="M134" i="13"/>
  <c r="O133" i="13"/>
  <c r="M133" i="13"/>
  <c r="O132" i="13"/>
  <c r="M132" i="13"/>
  <c r="O131" i="13"/>
  <c r="M131" i="13"/>
  <c r="O130" i="13"/>
  <c r="M130" i="13"/>
  <c r="O129" i="13"/>
  <c r="M129" i="13"/>
  <c r="O128" i="13"/>
  <c r="M128" i="13"/>
  <c r="O127" i="13"/>
  <c r="M127" i="13"/>
  <c r="O126" i="13"/>
  <c r="M126" i="13"/>
  <c r="O125" i="13"/>
  <c r="M125" i="13"/>
  <c r="O124" i="13"/>
  <c r="M124" i="13"/>
  <c r="O123" i="13"/>
  <c r="M123" i="13"/>
  <c r="O122" i="13"/>
  <c r="M122" i="13"/>
  <c r="O121" i="13"/>
  <c r="M121" i="13"/>
  <c r="O120" i="13"/>
  <c r="M120" i="13"/>
  <c r="O119" i="13"/>
  <c r="M119" i="13"/>
  <c r="O118" i="13"/>
  <c r="M118" i="13"/>
  <c r="O117" i="13"/>
  <c r="M117" i="13"/>
  <c r="O116" i="13"/>
  <c r="M116" i="13"/>
  <c r="O115" i="13"/>
  <c r="M115" i="13"/>
  <c r="O114" i="13"/>
  <c r="M114" i="13"/>
  <c r="O113" i="13"/>
  <c r="M113" i="13"/>
  <c r="O112" i="13"/>
  <c r="M112" i="13"/>
  <c r="O111" i="13"/>
  <c r="M111" i="13"/>
  <c r="O110" i="13"/>
  <c r="M110" i="13"/>
  <c r="D100" i="13"/>
  <c r="C100" i="13"/>
  <c r="C101" i="13" s="1"/>
  <c r="C102" i="13" s="1"/>
  <c r="C103" i="13" s="1"/>
  <c r="C104" i="13" s="1"/>
  <c r="C105" i="13" s="1"/>
  <c r="C106" i="13" s="1"/>
  <c r="C107" i="13" s="1"/>
  <c r="C108" i="13" s="1"/>
  <c r="C109" i="13" s="1"/>
  <c r="C110" i="13" s="1"/>
  <c r="C111" i="13" s="1"/>
  <c r="C112" i="13" s="1"/>
  <c r="C113" i="13" s="1"/>
  <c r="C114" i="13" s="1"/>
  <c r="C115" i="13" s="1"/>
  <c r="C116" i="13" s="1"/>
  <c r="C117" i="13" s="1"/>
  <c r="C118" i="13" s="1"/>
  <c r="C119" i="13" s="1"/>
  <c r="C120" i="13" s="1"/>
  <c r="C121" i="13" s="1"/>
  <c r="C122" i="13" s="1"/>
  <c r="C123" i="13" s="1"/>
  <c r="C124" i="13" s="1"/>
  <c r="C125" i="13" s="1"/>
  <c r="C126" i="13" s="1"/>
  <c r="C127" i="13" s="1"/>
  <c r="C128" i="13" s="1"/>
  <c r="C129" i="13" s="1"/>
  <c r="C130" i="13" s="1"/>
  <c r="C131" i="13" s="1"/>
  <c r="C132" i="13" s="1"/>
  <c r="C133" i="13" s="1"/>
  <c r="C134" i="13" s="1"/>
  <c r="C135" i="13" s="1"/>
  <c r="C136" i="13" s="1"/>
  <c r="C137" i="13" s="1"/>
  <c r="C138" i="13" s="1"/>
  <c r="C139" i="13" s="1"/>
  <c r="C140" i="13" s="1"/>
  <c r="C141" i="13" s="1"/>
  <c r="C142" i="13" s="1"/>
  <c r="C143" i="13" s="1"/>
  <c r="C144" i="13" s="1"/>
  <c r="C145" i="13" s="1"/>
  <c r="C146" i="13" s="1"/>
  <c r="C147" i="13" s="1"/>
  <c r="C148" i="13" s="1"/>
  <c r="C149" i="13" s="1"/>
  <c r="C150" i="13" s="1"/>
  <c r="C151" i="13" s="1"/>
  <c r="C152" i="13" s="1"/>
  <c r="C153" i="13" s="1"/>
  <c r="C154" i="13" s="1"/>
  <c r="C155" i="13" s="1"/>
  <c r="C156" i="13" s="1"/>
  <c r="C157" i="13" s="1"/>
  <c r="C158" i="13" s="1"/>
  <c r="C159" i="13" s="1"/>
  <c r="L95" i="13"/>
  <c r="J94" i="13"/>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157" i="20"/>
  <c r="C158" i="20"/>
  <c r="C159" i="20"/>
  <c r="C160" i="20"/>
  <c r="D101" i="20"/>
  <c r="C101" i="20"/>
  <c r="K96" i="20"/>
  <c r="I95" i="20"/>
  <c r="E86" i="31"/>
  <c r="E38" i="11" s="1"/>
  <c r="K38" i="11" s="1"/>
  <c r="D314" i="2"/>
  <c r="M23" i="13"/>
  <c r="C60" i="20"/>
  <c r="A4" i="34"/>
  <c r="C47" i="13"/>
  <c r="C47" i="20"/>
  <c r="D62" i="6"/>
  <c r="B60" i="6" s="1"/>
  <c r="D38" i="6"/>
  <c r="B36" i="6" s="1"/>
  <c r="C31" i="6"/>
  <c r="C32" i="6"/>
  <c r="L17" i="2"/>
  <c r="A4" i="21"/>
  <c r="B4" i="14"/>
  <c r="A4" i="13"/>
  <c r="A4" i="20"/>
  <c r="F16" i="13"/>
  <c r="F18" i="13" s="1"/>
  <c r="E23" i="13" s="1"/>
  <c r="F16" i="20"/>
  <c r="F18" i="20" s="1"/>
  <c r="E23" i="20" s="1"/>
  <c r="A4" i="12"/>
  <c r="A4" i="31"/>
  <c r="A4" i="11"/>
  <c r="A4" i="10"/>
  <c r="A4" i="9"/>
  <c r="A4" i="8"/>
  <c r="A4" i="7"/>
  <c r="A4" i="6"/>
  <c r="E12" i="6"/>
  <c r="A4" i="5"/>
  <c r="J157" i="2"/>
  <c r="L157" i="2" s="1"/>
  <c r="G48" i="20" s="1"/>
  <c r="F7" i="2"/>
  <c r="F53" i="2" s="1"/>
  <c r="F123" i="2" s="1"/>
  <c r="F204" i="2" s="1"/>
  <c r="F276" i="2" s="1"/>
  <c r="C112" i="34"/>
  <c r="J24" i="34"/>
  <c r="E198" i="34"/>
  <c r="E186" i="34"/>
  <c r="G81" i="6"/>
  <c r="G32" i="6" s="1"/>
  <c r="H229" i="2"/>
  <c r="A17" i="11"/>
  <c r="A19" i="11" s="1"/>
  <c r="A20" i="11" s="1"/>
  <c r="A21" i="11" s="1"/>
  <c r="A22" i="11" s="1"/>
  <c r="A23" i="11" s="1"/>
  <c r="A25" i="11" s="1"/>
  <c r="A26" i="11" s="1"/>
  <c r="A27" i="11" s="1"/>
  <c r="A28" i="11" s="1"/>
  <c r="A30" i="11" s="1"/>
  <c r="A31" i="11" s="1"/>
  <c r="A33" i="11" s="1"/>
  <c r="A34" i="11" s="1"/>
  <c r="A35" i="11" s="1"/>
  <c r="A36" i="11" s="1"/>
  <c r="A37" i="11" s="1"/>
  <c r="A38" i="11" s="1"/>
  <c r="A39" i="11" s="1"/>
  <c r="A40" i="11" s="1"/>
  <c r="A41" i="11" s="1"/>
  <c r="A43" i="11" s="1"/>
  <c r="E51" i="11"/>
  <c r="E53" i="11" s="1"/>
  <c r="E55" i="11" s="1"/>
  <c r="I51" i="11"/>
  <c r="I61" i="11" s="1"/>
  <c r="I63" i="11" s="1"/>
  <c r="I65" i="11" s="1"/>
  <c r="E66" i="11"/>
  <c r="E56" i="11"/>
  <c r="I66" i="11"/>
  <c r="I56" i="11"/>
  <c r="C50" i="11"/>
  <c r="M41" i="11"/>
  <c r="L229" i="2"/>
  <c r="L232" i="2"/>
  <c r="C31" i="34"/>
  <c r="C37" i="34"/>
  <c r="C38" i="34" s="1"/>
  <c r="C43" i="34"/>
  <c r="C44" i="34" s="1"/>
  <c r="C49" i="34"/>
  <c r="C50" i="34" s="1"/>
  <c r="E31" i="34"/>
  <c r="E32" i="34" s="1"/>
  <c r="E37" i="34"/>
  <c r="E43" i="34"/>
  <c r="E44" i="34" s="1"/>
  <c r="E49" i="34"/>
  <c r="E50" i="34" s="1"/>
  <c r="F31" i="34"/>
  <c r="F37" i="34"/>
  <c r="F38" i="34" s="1"/>
  <c r="F43" i="34"/>
  <c r="F44" i="34" s="1"/>
  <c r="F49" i="34"/>
  <c r="G31" i="34"/>
  <c r="G37" i="34"/>
  <c r="G38" i="34" s="1"/>
  <c r="G43" i="34"/>
  <c r="G44" i="34" s="1"/>
  <c r="G49" i="34"/>
  <c r="G50" i="34" s="1"/>
  <c r="H31" i="34"/>
  <c r="H32" i="34" s="1"/>
  <c r="H37" i="34"/>
  <c r="H38" i="34" s="1"/>
  <c r="H43" i="34"/>
  <c r="H49" i="34"/>
  <c r="H50" i="34" s="1"/>
  <c r="I31" i="34"/>
  <c r="I37" i="34"/>
  <c r="I38" i="34" s="1"/>
  <c r="I43" i="34"/>
  <c r="I44" i="34" s="1"/>
  <c r="I49" i="34"/>
  <c r="I50" i="34" s="1"/>
  <c r="C14" i="34"/>
  <c r="C63" i="34" s="1"/>
  <c r="J10" i="34"/>
  <c r="J9" i="34"/>
  <c r="J11" i="34"/>
  <c r="J13" i="34"/>
  <c r="J56" i="34"/>
  <c r="J58" i="34"/>
  <c r="J59" i="34"/>
  <c r="F14" i="34"/>
  <c r="G14" i="34"/>
  <c r="G63" i="34" s="1"/>
  <c r="H14" i="34"/>
  <c r="H63" i="34" s="1"/>
  <c r="I14" i="34"/>
  <c r="I63" i="34" s="1"/>
  <c r="J19" i="34"/>
  <c r="J20" i="34"/>
  <c r="J21" i="34"/>
  <c r="J22" i="34"/>
  <c r="J23" i="34"/>
  <c r="D21" i="9"/>
  <c r="G139" i="2" s="1"/>
  <c r="F233" i="2"/>
  <c r="G57" i="6"/>
  <c r="G31" i="6" s="1"/>
  <c r="C21" i="7"/>
  <c r="C23" i="7" s="1"/>
  <c r="G116" i="2" s="1"/>
  <c r="L116" i="2" s="1"/>
  <c r="O17" i="21"/>
  <c r="O22" i="21"/>
  <c r="O27" i="21"/>
  <c r="E50" i="31"/>
  <c r="E26" i="11" s="1"/>
  <c r="I26" i="11" s="1"/>
  <c r="E52" i="31"/>
  <c r="E27" i="11" s="1"/>
  <c r="I27" i="11" s="1"/>
  <c r="E54" i="31"/>
  <c r="E28" i="11" s="1"/>
  <c r="E37" i="31"/>
  <c r="E22" i="11" s="1"/>
  <c r="G22" i="11" s="1"/>
  <c r="E23" i="31"/>
  <c r="E20" i="11" s="1"/>
  <c r="G20" i="11" s="1"/>
  <c r="E30" i="31"/>
  <c r="E21" i="11" s="1"/>
  <c r="G21" i="11" s="1"/>
  <c r="E14" i="31"/>
  <c r="E17" i="11" s="1"/>
  <c r="M17" i="11" s="1"/>
  <c r="E59" i="31"/>
  <c r="E31" i="11" s="1"/>
  <c r="M31" i="11" s="1"/>
  <c r="E62" i="31"/>
  <c r="E34" i="11" s="1"/>
  <c r="M34" i="11" s="1"/>
  <c r="E89" i="31"/>
  <c r="E39" i="11" s="1"/>
  <c r="M39" i="11" s="1"/>
  <c r="E95" i="31"/>
  <c r="E40" i="11" s="1"/>
  <c r="M40" i="11" s="1"/>
  <c r="E65" i="31"/>
  <c r="E35" i="11" s="1"/>
  <c r="K35" i="11" s="1"/>
  <c r="E69" i="31"/>
  <c r="E36" i="11" s="1"/>
  <c r="K36" i="11" s="1"/>
  <c r="E81" i="31"/>
  <c r="E37" i="11" s="1"/>
  <c r="K37" i="11" s="1"/>
  <c r="A10" i="34"/>
  <c r="A11" i="34" s="1"/>
  <c r="A19" i="9"/>
  <c r="A20" i="9" s="1"/>
  <c r="A21" i="9" s="1"/>
  <c r="F118" i="34"/>
  <c r="F124" i="34"/>
  <c r="F130" i="34"/>
  <c r="F131" i="34" s="1"/>
  <c r="F136" i="34"/>
  <c r="F137" i="34" s="1"/>
  <c r="F183" i="34"/>
  <c r="F184" i="34"/>
  <c r="F185" i="34"/>
  <c r="F186" i="34"/>
  <c r="F187" i="34"/>
  <c r="F206" i="34"/>
  <c r="F208" i="34"/>
  <c r="F209" i="34"/>
  <c r="F193" i="34"/>
  <c r="F194" i="34"/>
  <c r="F195" i="34"/>
  <c r="F196" i="34"/>
  <c r="F197" i="34"/>
  <c r="F198" i="34"/>
  <c r="E118" i="34"/>
  <c r="E124" i="34"/>
  <c r="E125" i="34" s="1"/>
  <c r="E130" i="34"/>
  <c r="E131" i="34" s="1"/>
  <c r="E136" i="34"/>
  <c r="G118" i="34"/>
  <c r="G119" i="34" s="1"/>
  <c r="G124" i="34"/>
  <c r="G125" i="34" s="1"/>
  <c r="G130" i="34"/>
  <c r="G131" i="34" s="1"/>
  <c r="G136" i="34"/>
  <c r="H118" i="34"/>
  <c r="H119" i="34" s="1"/>
  <c r="H124" i="34"/>
  <c r="H125" i="34" s="1"/>
  <c r="H130" i="34"/>
  <c r="H131" i="34" s="1"/>
  <c r="H136" i="34"/>
  <c r="H137" i="34" s="1"/>
  <c r="I118" i="34"/>
  <c r="I124" i="34"/>
  <c r="I125" i="34" s="1"/>
  <c r="I130" i="34"/>
  <c r="I131" i="34" s="1"/>
  <c r="I136" i="34"/>
  <c r="I137" i="34" s="1"/>
  <c r="C118" i="34"/>
  <c r="C119" i="34" s="1"/>
  <c r="C124" i="34"/>
  <c r="C130" i="34"/>
  <c r="C131" i="34" s="1"/>
  <c r="C136" i="34"/>
  <c r="C137" i="34" s="1"/>
  <c r="A201" i="34"/>
  <c r="E194" i="34"/>
  <c r="G194" i="34"/>
  <c r="H194" i="34"/>
  <c r="I194" i="34"/>
  <c r="E195" i="34"/>
  <c r="G195" i="34"/>
  <c r="H195" i="34"/>
  <c r="I195" i="34"/>
  <c r="E196" i="34"/>
  <c r="G196" i="34"/>
  <c r="H196" i="34"/>
  <c r="I196" i="34"/>
  <c r="E197" i="34"/>
  <c r="G197" i="34"/>
  <c r="H197" i="34"/>
  <c r="I197" i="34"/>
  <c r="G198" i="34"/>
  <c r="H198" i="34"/>
  <c r="I198" i="34"/>
  <c r="E193" i="34"/>
  <c r="G193" i="34"/>
  <c r="H193" i="34"/>
  <c r="I193" i="34"/>
  <c r="C197" i="34"/>
  <c r="C195" i="34"/>
  <c r="C196" i="34"/>
  <c r="C194" i="34"/>
  <c r="C193" i="34"/>
  <c r="B199" i="34"/>
  <c r="B196" i="34"/>
  <c r="B197" i="34"/>
  <c r="B198" i="34"/>
  <c r="B194" i="34"/>
  <c r="B195" i="34"/>
  <c r="A192" i="34"/>
  <c r="B193" i="34"/>
  <c r="B9" i="32"/>
  <c r="B3" i="32"/>
  <c r="A13" i="10"/>
  <c r="A17" i="10" s="1"/>
  <c r="A21" i="10" s="1"/>
  <c r="A25" i="10" s="1"/>
  <c r="C183" i="34"/>
  <c r="J183" i="34" s="1"/>
  <c r="E183" i="34"/>
  <c r="G183" i="34"/>
  <c r="H183" i="34"/>
  <c r="I183" i="34"/>
  <c r="C184" i="34"/>
  <c r="J184" i="34" s="1"/>
  <c r="E184" i="34"/>
  <c r="G184" i="34"/>
  <c r="H184" i="34"/>
  <c r="I184" i="34"/>
  <c r="C185" i="34"/>
  <c r="J185" i="34" s="1"/>
  <c r="E185" i="34"/>
  <c r="G185" i="34"/>
  <c r="H185" i="34"/>
  <c r="I185" i="34"/>
  <c r="C186" i="34"/>
  <c r="J186" i="34" s="1"/>
  <c r="G186" i="34"/>
  <c r="H186" i="34"/>
  <c r="I186" i="34"/>
  <c r="C187" i="34"/>
  <c r="J187" i="34" s="1"/>
  <c r="E187" i="34"/>
  <c r="G187" i="34"/>
  <c r="H187" i="34"/>
  <c r="I187" i="34"/>
  <c r="C206" i="34"/>
  <c r="J206" i="34" s="1"/>
  <c r="E206" i="34"/>
  <c r="G206" i="34"/>
  <c r="H206" i="34"/>
  <c r="I206" i="34"/>
  <c r="C208" i="34"/>
  <c r="J208" i="34" s="1"/>
  <c r="L263" i="2" s="1"/>
  <c r="E208" i="34"/>
  <c r="G208" i="34"/>
  <c r="H208" i="34"/>
  <c r="I208" i="34"/>
  <c r="C209" i="34"/>
  <c r="J209" i="34" s="1"/>
  <c r="L264" i="2" s="1"/>
  <c r="E209" i="34"/>
  <c r="G209" i="34"/>
  <c r="H209" i="34"/>
  <c r="I209" i="34"/>
  <c r="J96" i="34"/>
  <c r="J97" i="34"/>
  <c r="J98" i="34"/>
  <c r="J99" i="34"/>
  <c r="J100" i="34"/>
  <c r="J143" i="34"/>
  <c r="J145" i="34"/>
  <c r="J146" i="34"/>
  <c r="A6" i="12"/>
  <c r="F25" i="34"/>
  <c r="G25" i="34"/>
  <c r="H25" i="34"/>
  <c r="I25" i="34"/>
  <c r="C101" i="34"/>
  <c r="C150" i="34" s="1"/>
  <c r="E101" i="34"/>
  <c r="E150" i="34" s="1"/>
  <c r="F101" i="34"/>
  <c r="F150" i="34" s="1"/>
  <c r="G101" i="34"/>
  <c r="H101" i="34"/>
  <c r="H150" i="34" s="1"/>
  <c r="I101" i="34"/>
  <c r="I150" i="34" s="1"/>
  <c r="J106" i="34"/>
  <c r="J107" i="34"/>
  <c r="J108" i="34"/>
  <c r="J109" i="34"/>
  <c r="J110" i="34"/>
  <c r="J111" i="34"/>
  <c r="E112" i="34"/>
  <c r="F112" i="34"/>
  <c r="G112" i="34"/>
  <c r="H112" i="34"/>
  <c r="I112" i="34"/>
  <c r="O3" i="21"/>
  <c r="N3" i="21"/>
  <c r="M3" i="21"/>
  <c r="L3" i="21"/>
  <c r="K3" i="21"/>
  <c r="J3" i="21"/>
  <c r="I3" i="21"/>
  <c r="H3" i="21"/>
  <c r="G3" i="21"/>
  <c r="F3" i="21"/>
  <c r="E3" i="21"/>
  <c r="D3" i="21"/>
  <c r="C3" i="21"/>
  <c r="B3" i="21"/>
  <c r="A3" i="21"/>
  <c r="E3" i="14"/>
  <c r="D3" i="14"/>
  <c r="C3" i="14"/>
  <c r="B3" i="14"/>
  <c r="P3" i="13"/>
  <c r="O3" i="13"/>
  <c r="N3" i="13"/>
  <c r="M3" i="13"/>
  <c r="L3" i="13"/>
  <c r="K3" i="13"/>
  <c r="J3" i="13"/>
  <c r="I3" i="13"/>
  <c r="H3" i="13"/>
  <c r="G3" i="13"/>
  <c r="F3" i="13"/>
  <c r="E3" i="13"/>
  <c r="D3" i="13"/>
  <c r="C3" i="13"/>
  <c r="B3" i="13"/>
  <c r="A3" i="13"/>
  <c r="O3" i="20"/>
  <c r="N3" i="20"/>
  <c r="M3" i="20"/>
  <c r="L3" i="20"/>
  <c r="K3" i="20"/>
  <c r="J3" i="20"/>
  <c r="I3" i="20"/>
  <c r="H3" i="20"/>
  <c r="G3" i="20"/>
  <c r="F3" i="20"/>
  <c r="E3" i="20"/>
  <c r="D3" i="20"/>
  <c r="C3" i="20"/>
  <c r="B3" i="20"/>
  <c r="A3" i="20"/>
  <c r="J3" i="12"/>
  <c r="I3" i="12"/>
  <c r="H3" i="12"/>
  <c r="G3" i="12"/>
  <c r="F3" i="12"/>
  <c r="E3" i="12"/>
  <c r="D3" i="12"/>
  <c r="C3" i="12"/>
  <c r="B3" i="12"/>
  <c r="A3" i="12"/>
  <c r="E3" i="31"/>
  <c r="D3" i="31"/>
  <c r="C3" i="31"/>
  <c r="B3" i="31"/>
  <c r="A3" i="31"/>
  <c r="M3" i="11"/>
  <c r="L3" i="11"/>
  <c r="K3" i="11"/>
  <c r="J3" i="11"/>
  <c r="I3" i="11"/>
  <c r="H3" i="11"/>
  <c r="G3" i="11"/>
  <c r="F3" i="11"/>
  <c r="E3" i="11"/>
  <c r="D3" i="11"/>
  <c r="C3" i="11"/>
  <c r="B3" i="11"/>
  <c r="A3" i="11"/>
  <c r="H3" i="10"/>
  <c r="G3" i="10"/>
  <c r="F3" i="10"/>
  <c r="E3" i="10"/>
  <c r="D3" i="10"/>
  <c r="C3" i="10"/>
  <c r="B3" i="10"/>
  <c r="A3" i="10"/>
  <c r="G3" i="9"/>
  <c r="F3" i="9"/>
  <c r="E3" i="9"/>
  <c r="D3" i="9"/>
  <c r="C3" i="9"/>
  <c r="B3" i="9"/>
  <c r="A3" i="9"/>
  <c r="K3" i="8"/>
  <c r="J3" i="8"/>
  <c r="I3" i="8"/>
  <c r="H3" i="8"/>
  <c r="G3" i="8"/>
  <c r="F3" i="8"/>
  <c r="E3" i="8"/>
  <c r="D3" i="8"/>
  <c r="C3" i="8"/>
  <c r="B3" i="8"/>
  <c r="A3" i="8"/>
  <c r="E3" i="7"/>
  <c r="D3" i="7"/>
  <c r="C3" i="7"/>
  <c r="B3" i="7"/>
  <c r="A3" i="7"/>
  <c r="L3" i="6"/>
  <c r="K3" i="6"/>
  <c r="J3" i="6"/>
  <c r="I3" i="6"/>
  <c r="H3" i="6"/>
  <c r="G3" i="6"/>
  <c r="F3" i="6"/>
  <c r="E3" i="6"/>
  <c r="D3" i="6"/>
  <c r="C3" i="6"/>
  <c r="B3" i="6"/>
  <c r="A3" i="6"/>
  <c r="I3" i="5"/>
  <c r="H3" i="5"/>
  <c r="G3" i="5"/>
  <c r="F3" i="5"/>
  <c r="E3" i="5"/>
  <c r="D3" i="5"/>
  <c r="C3" i="5"/>
  <c r="B3" i="5"/>
  <c r="A3" i="5"/>
  <c r="I17" i="6"/>
  <c r="G106" i="2" s="1"/>
  <c r="I21" i="6"/>
  <c r="G108" i="2" s="1"/>
  <c r="I23" i="6"/>
  <c r="G109" i="2" s="1"/>
  <c r="G193" i="2"/>
  <c r="L193" i="2" s="1"/>
  <c r="G148" i="2"/>
  <c r="F101" i="31"/>
  <c r="E98" i="31"/>
  <c r="A14" i="31"/>
  <c r="A22" i="31" s="1"/>
  <c r="E171" i="2" s="1"/>
  <c r="I50" i="5"/>
  <c r="C60" i="13"/>
  <c r="K33" i="21"/>
  <c r="A22" i="21"/>
  <c r="A27" i="21" s="1"/>
  <c r="A33" i="21" s="1"/>
  <c r="D195" i="2" s="1"/>
  <c r="A6" i="21"/>
  <c r="M20" i="13"/>
  <c r="L26" i="20"/>
  <c r="N8" i="20"/>
  <c r="O8" i="20"/>
  <c r="C11" i="20"/>
  <c r="C14" i="20"/>
  <c r="C18" i="20"/>
  <c r="C26" i="20"/>
  <c r="C32" i="20"/>
  <c r="C42" i="20"/>
  <c r="C43" i="20"/>
  <c r="C53" i="20"/>
  <c r="C55" i="20"/>
  <c r="C58" i="20"/>
  <c r="C62" i="20"/>
  <c r="C65" i="20"/>
  <c r="C66" i="20"/>
  <c r="C68" i="20"/>
  <c r="C69" i="20"/>
  <c r="C71" i="20"/>
  <c r="N82" i="20"/>
  <c r="O82" i="20"/>
  <c r="P8" i="13"/>
  <c r="C11" i="13"/>
  <c r="C14" i="13"/>
  <c r="C18" i="13"/>
  <c r="C26" i="13"/>
  <c r="C32" i="13"/>
  <c r="C42" i="13"/>
  <c r="C43" i="13"/>
  <c r="C53" i="13"/>
  <c r="C55" i="13"/>
  <c r="C58" i="13"/>
  <c r="C62" i="13"/>
  <c r="C65" i="13"/>
  <c r="C66" i="13"/>
  <c r="C68" i="13"/>
  <c r="C69" i="13"/>
  <c r="C71" i="13"/>
  <c r="O81" i="13"/>
  <c r="P81" i="13"/>
  <c r="E40" i="9"/>
  <c r="E47" i="9"/>
  <c r="J13" i="8"/>
  <c r="A15" i="8"/>
  <c r="A17" i="8" s="1"/>
  <c r="J15" i="8"/>
  <c r="A27" i="8"/>
  <c r="A29" i="8" s="1"/>
  <c r="A31" i="8" s="1"/>
  <c r="E15" i="2" s="1"/>
  <c r="J17" i="8"/>
  <c r="J19" i="8"/>
  <c r="J29" i="8"/>
  <c r="A15" i="7"/>
  <c r="A17" i="7" s="1"/>
  <c r="A18" i="7" s="1"/>
  <c r="A19" i="7" s="1"/>
  <c r="A21" i="7" s="1"/>
  <c r="A17" i="6"/>
  <c r="E106" i="2" s="1"/>
  <c r="A17" i="5"/>
  <c r="A18" i="5" s="1"/>
  <c r="F51" i="2"/>
  <c r="F121" i="2" s="1"/>
  <c r="F202" i="2" s="1"/>
  <c r="F274" i="2" s="1"/>
  <c r="F52" i="2"/>
  <c r="F122" i="2" s="1"/>
  <c r="F203" i="2" s="1"/>
  <c r="F275" i="2" s="1"/>
  <c r="F55" i="2"/>
  <c r="F125" i="2" s="1"/>
  <c r="F206" i="2" s="1"/>
  <c r="F278" i="2" s="1"/>
  <c r="B61" i="2"/>
  <c r="B131" i="2" s="1"/>
  <c r="B62" i="2"/>
  <c r="B132" i="2" s="1"/>
  <c r="D73" i="2"/>
  <c r="D83" i="2" s="1"/>
  <c r="D75" i="2"/>
  <c r="D84" i="2" s="1"/>
  <c r="D77" i="2"/>
  <c r="D85" i="2" s="1"/>
  <c r="E129" i="2"/>
  <c r="L129" i="2"/>
  <c r="E130" i="2"/>
  <c r="G130" i="2"/>
  <c r="I130" i="2"/>
  <c r="L130" i="2"/>
  <c r="D161" i="2"/>
  <c r="H232" i="2"/>
  <c r="B15" i="2"/>
  <c r="E18" i="2" s="1"/>
  <c r="E25" i="34"/>
  <c r="E14" i="34"/>
  <c r="E63" i="34" s="1"/>
  <c r="J12" i="34"/>
  <c r="C25" i="34"/>
  <c r="C198" i="34"/>
  <c r="L87" i="13"/>
  <c r="D81" i="6"/>
  <c r="D32" i="6" s="1"/>
  <c r="I98" i="20"/>
  <c r="E101" i="20" s="1"/>
  <c r="J57" i="6"/>
  <c r="J31" i="6" s="1"/>
  <c r="N90" i="20"/>
  <c r="J81" i="6"/>
  <c r="J32" i="6" s="1"/>
  <c r="G136" i="2"/>
  <c r="E69" i="2" l="1"/>
  <c r="E68" i="2"/>
  <c r="A29" i="36"/>
  <c r="A30" i="36" s="1"/>
  <c r="A31" i="36" s="1"/>
  <c r="A32" i="36" s="1"/>
  <c r="A33" i="36" s="1"/>
  <c r="A34" i="36" s="1"/>
  <c r="A35" i="36" s="1"/>
  <c r="A36" i="36" s="1"/>
  <c r="A37" i="36" s="1"/>
  <c r="A18" i="37"/>
  <c r="E98" i="2"/>
  <c r="A68" i="36"/>
  <c r="A70" i="36" s="1"/>
  <c r="A72" i="36" s="1"/>
  <c r="A74" i="36" s="1"/>
  <c r="A76" i="36" s="1"/>
  <c r="A77" i="36" s="1"/>
  <c r="A78" i="36" s="1"/>
  <c r="A79" i="36" s="1"/>
  <c r="A80" i="36" s="1"/>
  <c r="A81" i="36" s="1"/>
  <c r="D52" i="5" s="1"/>
  <c r="I79" i="34"/>
  <c r="A65" i="36"/>
  <c r="P112" i="13"/>
  <c r="P120" i="13"/>
  <c r="P124" i="13"/>
  <c r="P128" i="13"/>
  <c r="P140" i="13"/>
  <c r="G20" i="36"/>
  <c r="J54" i="35"/>
  <c r="F101" i="20"/>
  <c r="D102" i="20" s="1"/>
  <c r="E102" i="20" s="1"/>
  <c r="I27" i="8"/>
  <c r="I31" i="8" s="1"/>
  <c r="I77" i="20"/>
  <c r="P114" i="13"/>
  <c r="D23" i="38"/>
  <c r="G64" i="2" s="1"/>
  <c r="D33" i="32"/>
  <c r="I42" i="5"/>
  <c r="G40" i="37"/>
  <c r="G44" i="37"/>
  <c r="G78" i="36"/>
  <c r="G23" i="38"/>
  <c r="G67" i="2" s="1"/>
  <c r="F23" i="39"/>
  <c r="L245" i="2" s="1"/>
  <c r="P111" i="13"/>
  <c r="G21" i="36"/>
  <c r="J81" i="36"/>
  <c r="I53" i="11"/>
  <c r="I55" i="11" s="1"/>
  <c r="E23" i="39"/>
  <c r="L244" i="2" s="1"/>
  <c r="C81" i="36"/>
  <c r="B17" i="2"/>
  <c r="B18" i="2" s="1"/>
  <c r="B24" i="2" s="1"/>
  <c r="B26" i="2" s="1"/>
  <c r="B27" i="2" s="1"/>
  <c r="B28" i="2" s="1"/>
  <c r="B30" i="2" s="1"/>
  <c r="B31" i="2" s="1"/>
  <c r="O26" i="20"/>
  <c r="L36" i="2" s="1"/>
  <c r="I34" i="5"/>
  <c r="D52" i="36"/>
  <c r="F53" i="36" s="1"/>
  <c r="F61" i="36" s="1"/>
  <c r="F67" i="36" s="1"/>
  <c r="A21" i="6"/>
  <c r="A23" i="6" s="1"/>
  <c r="A29" i="6" s="1"/>
  <c r="A31" i="6" s="1"/>
  <c r="A32" i="6" s="1"/>
  <c r="A33" i="6" s="1"/>
  <c r="E113" i="2" s="1"/>
  <c r="F87" i="38"/>
  <c r="G102" i="2" s="1"/>
  <c r="E139" i="34"/>
  <c r="E151" i="34" s="1"/>
  <c r="J33" i="6"/>
  <c r="G110" i="2" s="1"/>
  <c r="C23" i="39"/>
  <c r="L242" i="2" s="1"/>
  <c r="E23" i="38"/>
  <c r="G65" i="2" s="1"/>
  <c r="I18" i="5"/>
  <c r="E137" i="34"/>
  <c r="G79" i="34"/>
  <c r="I81" i="36"/>
  <c r="Q33" i="41"/>
  <c r="E166" i="34"/>
  <c r="G19" i="36"/>
  <c r="I61" i="36"/>
  <c r="I67" i="36" s="1"/>
  <c r="G39" i="37"/>
  <c r="A84" i="38"/>
  <c r="A87" i="38" s="1"/>
  <c r="E100" i="2"/>
  <c r="C166" i="34"/>
  <c r="K45" i="36"/>
  <c r="G27" i="5"/>
  <c r="F73" i="9"/>
  <c r="G151" i="2" s="1"/>
  <c r="L151" i="2" s="1"/>
  <c r="P148" i="13"/>
  <c r="G79" i="36"/>
  <c r="G58" i="36"/>
  <c r="G42" i="37"/>
  <c r="A81" i="13"/>
  <c r="P145" i="13"/>
  <c r="D23" i="39"/>
  <c r="L243" i="2" s="1"/>
  <c r="G250" i="2" s="1"/>
  <c r="J250" i="2" s="1"/>
  <c r="E22" i="20" s="1"/>
  <c r="F23" i="38"/>
  <c r="G66" i="2" s="1"/>
  <c r="C199" i="34"/>
  <c r="J130" i="34"/>
  <c r="D81" i="36"/>
  <c r="F166" i="34"/>
  <c r="H199" i="34"/>
  <c r="G40" i="36"/>
  <c r="C53" i="36"/>
  <c r="C61" i="36" s="1"/>
  <c r="E61" i="36"/>
  <c r="C38" i="36"/>
  <c r="C45" i="36" s="1"/>
  <c r="E45" i="36"/>
  <c r="A29" i="39"/>
  <c r="A30" i="39" s="1"/>
  <c r="A31" i="39" s="1"/>
  <c r="A32" i="39" s="1"/>
  <c r="A33" i="39" s="1"/>
  <c r="A34" i="39" s="1"/>
  <c r="A35" i="39" s="1"/>
  <c r="A36" i="39" s="1"/>
  <c r="A37" i="39" s="1"/>
  <c r="A38" i="39" s="1"/>
  <c r="A39" i="39" s="1"/>
  <c r="A40" i="39" s="1"/>
  <c r="A41" i="39" s="1"/>
  <c r="A42" i="39" s="1"/>
  <c r="A48" i="39" s="1"/>
  <c r="A49" i="39" s="1"/>
  <c r="G43" i="5"/>
  <c r="E245" i="2"/>
  <c r="F23" i="36"/>
  <c r="I30" i="31"/>
  <c r="G38" i="37"/>
  <c r="S22" i="21"/>
  <c r="P33" i="41"/>
  <c r="B74" i="39"/>
  <c r="G188" i="34"/>
  <c r="G213" i="34" s="1"/>
  <c r="G216" i="34" s="1"/>
  <c r="P110" i="13"/>
  <c r="P118" i="13"/>
  <c r="P126" i="13"/>
  <c r="P130" i="13"/>
  <c r="P146" i="13"/>
  <c r="G57" i="36"/>
  <c r="A23" i="31"/>
  <c r="A30" i="31" s="1"/>
  <c r="A37" i="31" s="1"/>
  <c r="A40" i="31" s="1"/>
  <c r="A49" i="31" s="1"/>
  <c r="A50" i="31" s="1"/>
  <c r="A52" i="31" s="1"/>
  <c r="A54" i="31" s="1"/>
  <c r="A58" i="31" s="1"/>
  <c r="A59" i="31" s="1"/>
  <c r="A61" i="31" s="1"/>
  <c r="A62" i="31" s="1"/>
  <c r="A65" i="31" s="1"/>
  <c r="A69" i="31" s="1"/>
  <c r="A81" i="31" s="1"/>
  <c r="A86" i="31" s="1"/>
  <c r="A89" i="31" s="1"/>
  <c r="A95" i="31" s="1"/>
  <c r="A98" i="31" s="1"/>
  <c r="A101" i="31" s="1"/>
  <c r="E244" i="2"/>
  <c r="I166" i="34"/>
  <c r="J101" i="34"/>
  <c r="J150" i="34" s="1"/>
  <c r="I188" i="34"/>
  <c r="I213" i="34" s="1"/>
  <c r="I216" i="34" s="1"/>
  <c r="I218" i="34" s="1"/>
  <c r="I52" i="5"/>
  <c r="L95" i="2" s="1"/>
  <c r="I23" i="31"/>
  <c r="K61" i="36"/>
  <c r="K67" i="36" s="1"/>
  <c r="G54" i="36"/>
  <c r="P137" i="13"/>
  <c r="F48" i="13"/>
  <c r="C79" i="34"/>
  <c r="H166" i="34"/>
  <c r="J194" i="34"/>
  <c r="E199" i="34"/>
  <c r="J196" i="34"/>
  <c r="G19" i="5"/>
  <c r="I45" i="36"/>
  <c r="I21" i="35"/>
  <c r="L21" i="35" s="1"/>
  <c r="G55" i="36"/>
  <c r="E242" i="2"/>
  <c r="E23" i="36"/>
  <c r="I37" i="31"/>
  <c r="D64" i="9"/>
  <c r="G145" i="2" s="1"/>
  <c r="E73" i="9"/>
  <c r="H228" i="2"/>
  <c r="H233" i="2" s="1"/>
  <c r="R45" i="36"/>
  <c r="E25" i="5" s="1"/>
  <c r="D33" i="40"/>
  <c r="G152" i="2" s="1"/>
  <c r="R61" i="36"/>
  <c r="R67" i="36" s="1"/>
  <c r="S27" i="21"/>
  <c r="D44" i="9"/>
  <c r="G144" i="2" s="1"/>
  <c r="A19" i="5"/>
  <c r="A20" i="5" s="1"/>
  <c r="A23" i="5" s="1"/>
  <c r="A25" i="5" s="1"/>
  <c r="A26" i="5" s="1"/>
  <c r="A27" i="5" s="1"/>
  <c r="A28" i="5" s="1"/>
  <c r="A31" i="5" s="1"/>
  <c r="A33" i="5" s="1"/>
  <c r="G43" i="11"/>
  <c r="E65" i="2"/>
  <c r="E66" i="2"/>
  <c r="A22" i="40"/>
  <c r="A23" i="40" s="1"/>
  <c r="A26" i="40" s="1"/>
  <c r="A27" i="40" s="1"/>
  <c r="A28" i="40" s="1"/>
  <c r="A29" i="40" s="1"/>
  <c r="A30" i="40" s="1"/>
  <c r="E46" i="37"/>
  <c r="C36" i="37"/>
  <c r="C46" i="37" s="1"/>
  <c r="E27" i="5"/>
  <c r="G22" i="35"/>
  <c r="G23" i="35" s="1"/>
  <c r="I23" i="35" s="1"/>
  <c r="L23" i="35" s="1"/>
  <c r="H139" i="34"/>
  <c r="H144" i="34" s="1"/>
  <c r="H147" i="34" s="1"/>
  <c r="H152" i="34" s="1"/>
  <c r="E61" i="11"/>
  <c r="E63" i="11" s="1"/>
  <c r="E65" i="11" s="1"/>
  <c r="J27" i="8"/>
  <c r="J31" i="8" s="1"/>
  <c r="J198" i="34"/>
  <c r="H140" i="34"/>
  <c r="F188" i="34"/>
  <c r="F213" i="34" s="1"/>
  <c r="F216" i="34" s="1"/>
  <c r="F218" i="34" s="1"/>
  <c r="J25" i="34"/>
  <c r="P150" i="13"/>
  <c r="P152" i="13"/>
  <c r="P156" i="13"/>
  <c r="P158" i="13"/>
  <c r="K46" i="37"/>
  <c r="F80" i="38"/>
  <c r="G100" i="2" s="1"/>
  <c r="L100" i="2" s="1"/>
  <c r="D20" i="40"/>
  <c r="G17" i="5"/>
  <c r="I26" i="5"/>
  <c r="E64" i="9"/>
  <c r="G37" i="37"/>
  <c r="G42" i="36"/>
  <c r="C23" i="38"/>
  <c r="G63" i="2" s="1"/>
  <c r="F42" i="38"/>
  <c r="G76" i="2" s="1"/>
  <c r="E42" i="38"/>
  <c r="G75" i="2" s="1"/>
  <c r="D42" i="38"/>
  <c r="G74" i="2" s="1"/>
  <c r="C42" i="38"/>
  <c r="C64" i="38" s="1"/>
  <c r="L73" i="2" s="1"/>
  <c r="G42" i="38"/>
  <c r="G77" i="2" s="1"/>
  <c r="J37" i="36"/>
  <c r="J45" i="36" s="1"/>
  <c r="E22" i="31"/>
  <c r="I81" i="6"/>
  <c r="I32" i="6" s="1"/>
  <c r="J43" i="34"/>
  <c r="G17" i="36"/>
  <c r="J188" i="34"/>
  <c r="J213" i="34" s="1"/>
  <c r="J216" i="34" s="1"/>
  <c r="H271" i="2" s="1"/>
  <c r="E38" i="9"/>
  <c r="E44" i="9" s="1"/>
  <c r="J112" i="34"/>
  <c r="C188" i="34"/>
  <c r="C213" i="34" s="1"/>
  <c r="C216" i="34" s="1"/>
  <c r="C218" i="34" s="1"/>
  <c r="G199" i="34"/>
  <c r="J14" i="34"/>
  <c r="J63" i="34" s="1"/>
  <c r="F358" i="2"/>
  <c r="G177" i="2" s="1"/>
  <c r="G181" i="2" s="1"/>
  <c r="E49" i="5"/>
  <c r="E51" i="5" s="1"/>
  <c r="K43" i="11"/>
  <c r="G173" i="2" s="1"/>
  <c r="J131" i="34"/>
  <c r="E188" i="34"/>
  <c r="E213" i="34" s="1"/>
  <c r="H188" i="34"/>
  <c r="H213" i="34" s="1"/>
  <c r="H216" i="34" s="1"/>
  <c r="G33" i="6"/>
  <c r="G112" i="2" s="1"/>
  <c r="L112" i="2" s="1"/>
  <c r="P123" i="13"/>
  <c r="P127" i="13"/>
  <c r="P129" i="13"/>
  <c r="P143" i="13"/>
  <c r="P147" i="13"/>
  <c r="G64" i="36"/>
  <c r="K81" i="36"/>
  <c r="G49" i="5"/>
  <c r="I46" i="37"/>
  <c r="G39" i="36"/>
  <c r="G41" i="37"/>
  <c r="G18" i="39"/>
  <c r="C42" i="39"/>
  <c r="J19" i="42"/>
  <c r="J21" i="42" s="1"/>
  <c r="F45" i="36"/>
  <c r="D38" i="36"/>
  <c r="P149" i="13"/>
  <c r="P151" i="13"/>
  <c r="P153" i="13"/>
  <c r="P155" i="13"/>
  <c r="P159" i="13"/>
  <c r="G12" i="39"/>
  <c r="G20" i="39"/>
  <c r="H29" i="39"/>
  <c r="D42" i="39"/>
  <c r="G42" i="39"/>
  <c r="H32" i="39"/>
  <c r="H36" i="39"/>
  <c r="H39" i="39"/>
  <c r="G37" i="36"/>
  <c r="P115" i="13"/>
  <c r="P131" i="13"/>
  <c r="P133" i="13"/>
  <c r="P135" i="13"/>
  <c r="E42" i="39"/>
  <c r="P116" i="13"/>
  <c r="P122" i="13"/>
  <c r="P132" i="13"/>
  <c r="P134" i="13"/>
  <c r="P136" i="13"/>
  <c r="P142" i="13"/>
  <c r="P144" i="13"/>
  <c r="G11" i="39"/>
  <c r="G13" i="39"/>
  <c r="G14" i="39"/>
  <c r="G15" i="39"/>
  <c r="G16" i="39"/>
  <c r="G17" i="39"/>
  <c r="G19" i="39"/>
  <c r="G21" i="39"/>
  <c r="G22" i="39"/>
  <c r="F42" i="39"/>
  <c r="H30" i="39"/>
  <c r="H31" i="39"/>
  <c r="H33" i="39"/>
  <c r="H34" i="39"/>
  <c r="H35" i="39"/>
  <c r="H37" i="39"/>
  <c r="H38" i="39"/>
  <c r="H40" i="39"/>
  <c r="H41" i="39"/>
  <c r="P141" i="13"/>
  <c r="P113" i="13"/>
  <c r="P117" i="13"/>
  <c r="P119" i="13"/>
  <c r="P121" i="13"/>
  <c r="P125" i="13"/>
  <c r="P138" i="13"/>
  <c r="P154" i="13"/>
  <c r="F50" i="34"/>
  <c r="J50" i="34" s="1"/>
  <c r="J49" i="34"/>
  <c r="F32" i="34"/>
  <c r="F52" i="34"/>
  <c r="J31" i="34"/>
  <c r="E52" i="34"/>
  <c r="E38" i="34"/>
  <c r="E53" i="34" s="1"/>
  <c r="E203" i="34" s="1"/>
  <c r="J37" i="34"/>
  <c r="O13" i="42"/>
  <c r="K81" i="6"/>
  <c r="K32" i="6" s="1"/>
  <c r="E81" i="6"/>
  <c r="E32" i="6" s="1"/>
  <c r="I119" i="34"/>
  <c r="I140" i="34" s="1"/>
  <c r="I139" i="34"/>
  <c r="G137" i="34"/>
  <c r="G140" i="34" s="1"/>
  <c r="G139" i="34"/>
  <c r="F119" i="34"/>
  <c r="F139" i="34"/>
  <c r="I28" i="11"/>
  <c r="I43" i="11" s="1"/>
  <c r="G169" i="2" s="1"/>
  <c r="E43" i="11"/>
  <c r="I32" i="34"/>
  <c r="I53" i="34" s="1"/>
  <c r="I203" i="34" s="1"/>
  <c r="I52" i="34"/>
  <c r="A48" i="11"/>
  <c r="E173" i="2"/>
  <c r="E172" i="2"/>
  <c r="E169" i="2"/>
  <c r="G10" i="39"/>
  <c r="D73" i="9"/>
  <c r="G146" i="2" s="1"/>
  <c r="A12" i="34"/>
  <c r="H44" i="34"/>
  <c r="H53" i="34" s="1"/>
  <c r="H203" i="34" s="1"/>
  <c r="H52" i="34"/>
  <c r="G52" i="34"/>
  <c r="G32" i="34"/>
  <c r="G53" i="34" s="1"/>
  <c r="G203" i="34" s="1"/>
  <c r="M88" i="13"/>
  <c r="N21" i="13" s="1"/>
  <c r="N88" i="13"/>
  <c r="D57" i="6"/>
  <c r="D31" i="6" s="1"/>
  <c r="D33" i="6" s="1"/>
  <c r="I41" i="6"/>
  <c r="S17" i="21"/>
  <c r="O33" i="21"/>
  <c r="G195" i="2" s="1"/>
  <c r="F63" i="34"/>
  <c r="F79" i="34"/>
  <c r="I199" i="34"/>
  <c r="F125" i="34"/>
  <c r="J124" i="34"/>
  <c r="M43" i="11"/>
  <c r="G172" i="2" s="1"/>
  <c r="L172" i="2" s="1"/>
  <c r="C52" i="34"/>
  <c r="C32" i="34"/>
  <c r="B23" i="7"/>
  <c r="A23" i="7"/>
  <c r="E116" i="2" s="1"/>
  <c r="A24" i="9"/>
  <c r="A25" i="9" s="1"/>
  <c r="A26" i="9" s="1"/>
  <c r="A27" i="9" s="1"/>
  <c r="A28" i="9" s="1"/>
  <c r="A29" i="9" s="1"/>
  <c r="A30" i="9" s="1"/>
  <c r="A31" i="9" s="1"/>
  <c r="A32" i="9" s="1"/>
  <c r="A33" i="9" s="1"/>
  <c r="E139" i="2"/>
  <c r="A29" i="38"/>
  <c r="A30" i="38" s="1"/>
  <c r="A31" i="38" s="1"/>
  <c r="A32" i="38" s="1"/>
  <c r="A33" i="38" s="1"/>
  <c r="A34" i="38" s="1"/>
  <c r="A35" i="38" s="1"/>
  <c r="A36" i="38" s="1"/>
  <c r="A37" i="38" s="1"/>
  <c r="A38" i="38" s="1"/>
  <c r="A39" i="38" s="1"/>
  <c r="A40" i="38" s="1"/>
  <c r="A41" i="38" s="1"/>
  <c r="A42" i="38" s="1"/>
  <c r="E64" i="2"/>
  <c r="E67" i="2"/>
  <c r="E79" i="34"/>
  <c r="G166" i="34"/>
  <c r="G150" i="34"/>
  <c r="J193" i="34"/>
  <c r="J197" i="34"/>
  <c r="L261" i="2"/>
  <c r="J195" i="34"/>
  <c r="C125" i="34"/>
  <c r="C139" i="34"/>
  <c r="F199" i="34"/>
  <c r="G41" i="5"/>
  <c r="H79" i="34"/>
  <c r="E119" i="34"/>
  <c r="J118" i="34"/>
  <c r="J136" i="34"/>
  <c r="P139" i="13"/>
  <c r="J61" i="36"/>
  <c r="J67" i="36" s="1"/>
  <c r="G35" i="5"/>
  <c r="E55" i="39"/>
  <c r="G33" i="5"/>
  <c r="D21" i="42"/>
  <c r="P157" i="13"/>
  <c r="E19" i="5"/>
  <c r="E17" i="5"/>
  <c r="G25" i="5"/>
  <c r="D33" i="9"/>
  <c r="G137" i="2" s="1"/>
  <c r="L42" i="2"/>
  <c r="G147" i="2" l="1"/>
  <c r="G154" i="2" s="1"/>
  <c r="A38" i="36"/>
  <c r="A39" i="36" s="1"/>
  <c r="A40" i="36" s="1"/>
  <c r="A41" i="36" s="1"/>
  <c r="A42" i="36" s="1"/>
  <c r="A19" i="37"/>
  <c r="A20" i="37" s="1"/>
  <c r="A21" i="37" s="1"/>
  <c r="A22" i="37" s="1"/>
  <c r="A23" i="37" s="1"/>
  <c r="A24" i="37" s="1"/>
  <c r="A25" i="37" s="1"/>
  <c r="A26" i="37" s="1"/>
  <c r="A27" i="37" s="1"/>
  <c r="A28" i="37" s="1"/>
  <c r="A29" i="37" s="1"/>
  <c r="A30" i="37" s="1"/>
  <c r="A31" i="37" s="1"/>
  <c r="E79" i="2"/>
  <c r="E78" i="2"/>
  <c r="L212" i="2"/>
  <c r="L215" i="2" s="1"/>
  <c r="L63" i="2" s="1"/>
  <c r="G70" i="2"/>
  <c r="D34" i="5"/>
  <c r="F102" i="20"/>
  <c r="D103" i="20" s="1"/>
  <c r="E103" i="20" s="1"/>
  <c r="G85" i="2"/>
  <c r="G38" i="36"/>
  <c r="G45" i="36" s="1"/>
  <c r="I27" i="5"/>
  <c r="E140" i="34"/>
  <c r="I19" i="5"/>
  <c r="G52" i="36"/>
  <c r="G229" i="34"/>
  <c r="E35" i="5"/>
  <c r="I35" i="5" s="1"/>
  <c r="E33" i="5"/>
  <c r="E109" i="2"/>
  <c r="H218" i="34"/>
  <c r="G81" i="36"/>
  <c r="S33" i="21"/>
  <c r="L195" i="2" s="1"/>
  <c r="C22" i="31"/>
  <c r="D30" i="2"/>
  <c r="E28" i="2"/>
  <c r="J44" i="34"/>
  <c r="G218" i="34"/>
  <c r="E112" i="2"/>
  <c r="E74" i="39"/>
  <c r="E76" i="39" s="1"/>
  <c r="E111" i="2"/>
  <c r="A39" i="6"/>
  <c r="A41" i="6" s="1"/>
  <c r="A42" i="6" s="1"/>
  <c r="A43" i="6" s="1"/>
  <c r="A44" i="6" s="1"/>
  <c r="A45" i="6" s="1"/>
  <c r="A46" i="6" s="1"/>
  <c r="A47" i="6" s="1"/>
  <c r="A48" i="6" s="1"/>
  <c r="A49" i="6" s="1"/>
  <c r="A50" i="6" s="1"/>
  <c r="A51" i="6" s="1"/>
  <c r="A52" i="6" s="1"/>
  <c r="A53" i="6" s="1"/>
  <c r="A54" i="6" s="1"/>
  <c r="A55" i="6" s="1"/>
  <c r="A56" i="6" s="1"/>
  <c r="A63" i="6" s="1"/>
  <c r="A65" i="6" s="1"/>
  <c r="A66" i="6" s="1"/>
  <c r="A67" i="6" s="1"/>
  <c r="A68" i="6" s="1"/>
  <c r="A69" i="6" s="1"/>
  <c r="A70" i="6" s="1"/>
  <c r="A71" i="6" s="1"/>
  <c r="A74" i="6" s="1"/>
  <c r="A75" i="6" s="1"/>
  <c r="A76" i="6" s="1"/>
  <c r="A77" i="6" s="1"/>
  <c r="A78" i="6" s="1"/>
  <c r="A79" i="6" s="1"/>
  <c r="A80" i="6" s="1"/>
  <c r="E110" i="2"/>
  <c r="E108" i="2"/>
  <c r="E167" i="34"/>
  <c r="E144" i="34"/>
  <c r="E147" i="34" s="1"/>
  <c r="E152" i="34" s="1"/>
  <c r="E153" i="34" s="1"/>
  <c r="I22" i="35"/>
  <c r="L22" i="35" s="1"/>
  <c r="G73" i="2"/>
  <c r="G186" i="2"/>
  <c r="D45" i="36"/>
  <c r="H167" i="34"/>
  <c r="H151" i="34"/>
  <c r="H153" i="34" s="1"/>
  <c r="F229" i="34"/>
  <c r="F234" i="34" s="1"/>
  <c r="F237" i="34" s="1"/>
  <c r="J137" i="34"/>
  <c r="G23" i="36"/>
  <c r="B23" i="40"/>
  <c r="E20" i="5"/>
  <c r="D53" i="36"/>
  <c r="G53" i="36" s="1"/>
  <c r="G24" i="35"/>
  <c r="I24" i="35" s="1"/>
  <c r="L24" i="35" s="1"/>
  <c r="G84" i="2"/>
  <c r="K48" i="11" s="1"/>
  <c r="K51" i="11" s="1"/>
  <c r="K53" i="11" s="1"/>
  <c r="K55" i="11" s="1"/>
  <c r="I57" i="11" s="1"/>
  <c r="I58" i="11" s="1"/>
  <c r="I59" i="11" s="1"/>
  <c r="C229" i="34"/>
  <c r="C234" i="34" s="1"/>
  <c r="C237" i="34" s="1"/>
  <c r="J38" i="34"/>
  <c r="J119" i="34"/>
  <c r="D20" i="5"/>
  <c r="E22" i="13"/>
  <c r="G20" i="5"/>
  <c r="E91" i="2"/>
  <c r="I229" i="34"/>
  <c r="I234" i="34" s="1"/>
  <c r="I237" i="34" s="1"/>
  <c r="L246" i="2"/>
  <c r="G251" i="2" s="1"/>
  <c r="F53" i="34"/>
  <c r="F203" i="34" s="1"/>
  <c r="J166" i="34"/>
  <c r="I22" i="31"/>
  <c r="L171" i="2" s="1"/>
  <c r="E28" i="5"/>
  <c r="H42" i="39"/>
  <c r="G249" i="2" s="1"/>
  <c r="C30" i="40"/>
  <c r="J79" i="34"/>
  <c r="H229" i="34"/>
  <c r="E229" i="34"/>
  <c r="G23" i="39"/>
  <c r="G171" i="2"/>
  <c r="G174" i="2" s="1"/>
  <c r="E101" i="31"/>
  <c r="L19" i="42"/>
  <c r="L21" i="42" s="1"/>
  <c r="I17" i="5"/>
  <c r="G91" i="2" s="1"/>
  <c r="G51" i="5"/>
  <c r="I49" i="5"/>
  <c r="I51" i="5" s="1"/>
  <c r="G95" i="2" s="1"/>
  <c r="E216" i="34"/>
  <c r="E218" i="34" s="1"/>
  <c r="A36" i="9"/>
  <c r="A37" i="9" s="1"/>
  <c r="A38" i="9" s="1"/>
  <c r="A39" i="9" s="1"/>
  <c r="A40" i="9" s="1"/>
  <c r="A41" i="9" s="1"/>
  <c r="A44" i="9" s="1"/>
  <c r="E137" i="2"/>
  <c r="C57" i="34"/>
  <c r="J52" i="34"/>
  <c r="C80" i="34"/>
  <c r="C202" i="34"/>
  <c r="C64" i="34"/>
  <c r="K41" i="6"/>
  <c r="I57" i="6"/>
  <c r="I31" i="6" s="1"/>
  <c r="I33" i="6" s="1"/>
  <c r="G111" i="2" s="1"/>
  <c r="H64" i="34"/>
  <c r="H80" i="34"/>
  <c r="H202" i="34"/>
  <c r="H57" i="34"/>
  <c r="H60" i="34" s="1"/>
  <c r="H65" i="34" s="1"/>
  <c r="A50" i="39"/>
  <c r="A51" i="39" s="1"/>
  <c r="A52" i="39" s="1"/>
  <c r="A53" i="39" s="1"/>
  <c r="A54" i="39" s="1"/>
  <c r="A55" i="39" s="1"/>
  <c r="F202" i="34"/>
  <c r="F64" i="34"/>
  <c r="F80" i="34"/>
  <c r="F57" i="34"/>
  <c r="F60" i="34" s="1"/>
  <c r="F65" i="34" s="1"/>
  <c r="I25" i="5"/>
  <c r="G28" i="5"/>
  <c r="L239" i="2"/>
  <c r="J125" i="34"/>
  <c r="C140" i="34"/>
  <c r="J199" i="34"/>
  <c r="D28" i="5"/>
  <c r="A50" i="11"/>
  <c r="A51" i="11" s="1"/>
  <c r="C61" i="11" s="1"/>
  <c r="I151" i="34"/>
  <c r="I167" i="34"/>
  <c r="I144" i="34"/>
  <c r="I147" i="34" s="1"/>
  <c r="I152" i="34" s="1"/>
  <c r="C151" i="34"/>
  <c r="J139" i="34"/>
  <c r="C167" i="34"/>
  <c r="C144" i="34"/>
  <c r="A34" i="5"/>
  <c r="A35" i="5" s="1"/>
  <c r="A36" i="5" s="1"/>
  <c r="A39" i="5" s="1"/>
  <c r="A41" i="5" s="1"/>
  <c r="G44" i="5"/>
  <c r="F167" i="34"/>
  <c r="F151" i="34"/>
  <c r="F144" i="34"/>
  <c r="F147" i="34" s="1"/>
  <c r="F152" i="34" s="1"/>
  <c r="D33" i="2"/>
  <c r="C70" i="13"/>
  <c r="C70" i="20"/>
  <c r="B33" i="2"/>
  <c r="B34" i="2" s="1"/>
  <c r="E202" i="34"/>
  <c r="E57" i="34"/>
  <c r="E60" i="34" s="1"/>
  <c r="E65" i="34" s="1"/>
  <c r="E80" i="34"/>
  <c r="E64" i="34"/>
  <c r="L41" i="2"/>
  <c r="G140" i="2"/>
  <c r="E76" i="2"/>
  <c r="E77" i="2"/>
  <c r="E75" i="2"/>
  <c r="A49" i="38"/>
  <c r="A50" i="38" s="1"/>
  <c r="A51" i="38" s="1"/>
  <c r="A52" i="38" s="1"/>
  <c r="A53" i="38" s="1"/>
  <c r="A54" i="38" s="1"/>
  <c r="A55" i="38" s="1"/>
  <c r="A56" i="38" s="1"/>
  <c r="A57" i="38" s="1"/>
  <c r="A58" i="38" s="1"/>
  <c r="A59" i="38" s="1"/>
  <c r="A60" i="38" s="1"/>
  <c r="A61" i="38" s="1"/>
  <c r="A62" i="38" s="1"/>
  <c r="E74" i="2"/>
  <c r="E73" i="2"/>
  <c r="G36" i="5"/>
  <c r="E92" i="2"/>
  <c r="J32" i="34"/>
  <c r="C53" i="34"/>
  <c r="A33" i="40"/>
  <c r="E152" i="2" s="1"/>
  <c r="C33" i="40"/>
  <c r="O21" i="13"/>
  <c r="P21" i="13" s="1"/>
  <c r="O88" i="13"/>
  <c r="G80" i="34"/>
  <c r="G64" i="34"/>
  <c r="G57" i="34"/>
  <c r="G60" i="34" s="1"/>
  <c r="G65" i="34" s="1"/>
  <c r="G202" i="34"/>
  <c r="A13" i="34"/>
  <c r="A14" i="34" s="1"/>
  <c r="J218" i="34"/>
  <c r="I202" i="34"/>
  <c r="I80" i="34"/>
  <c r="I64" i="34"/>
  <c r="I57" i="34"/>
  <c r="I60" i="34" s="1"/>
  <c r="I65" i="34" s="1"/>
  <c r="F140" i="34"/>
  <c r="G167" i="34"/>
  <c r="G151" i="34"/>
  <c r="G144" i="34"/>
  <c r="G147" i="34" s="1"/>
  <c r="G152" i="34" s="1"/>
  <c r="A32" i="37" l="1"/>
  <c r="A33" i="37" s="1"/>
  <c r="A34" i="37" s="1"/>
  <c r="A35" i="37" s="1"/>
  <c r="A36" i="37" s="1"/>
  <c r="A37" i="37" s="1"/>
  <c r="A38" i="37" s="1"/>
  <c r="A39" i="37" s="1"/>
  <c r="A40" i="37" s="1"/>
  <c r="A41" i="37" s="1"/>
  <c r="A42" i="37" s="1"/>
  <c r="A43" i="37" s="1"/>
  <c r="A44" i="37" s="1"/>
  <c r="J73" i="2"/>
  <c r="J74" i="2" s="1"/>
  <c r="L74" i="2" s="1"/>
  <c r="G80" i="2"/>
  <c r="L45" i="2"/>
  <c r="F103" i="20"/>
  <c r="D104" i="20" s="1"/>
  <c r="E104" i="20" s="1"/>
  <c r="G61" i="36"/>
  <c r="G234" i="34"/>
  <c r="G237" i="34" s="1"/>
  <c r="E36" i="5"/>
  <c r="I33" i="5"/>
  <c r="I36" i="5" s="1"/>
  <c r="L93" i="2" s="1"/>
  <c r="G83" i="2"/>
  <c r="G87" i="2" s="1"/>
  <c r="G25" i="35"/>
  <c r="G26" i="35" s="1"/>
  <c r="H234" i="34"/>
  <c r="H237" i="34" s="1"/>
  <c r="K61" i="11"/>
  <c r="K63" i="11" s="1"/>
  <c r="K65" i="11" s="1"/>
  <c r="K67" i="11" s="1"/>
  <c r="K68" i="11" s="1"/>
  <c r="K69" i="11" s="1"/>
  <c r="G57" i="11"/>
  <c r="E57" i="11"/>
  <c r="K57" i="11"/>
  <c r="K58" i="11" s="1"/>
  <c r="A72" i="6"/>
  <c r="A73" i="6" s="1"/>
  <c r="E93" i="2"/>
  <c r="I20" i="5"/>
  <c r="L91" i="2" s="1"/>
  <c r="E234" i="34"/>
  <c r="E237" i="34" s="1"/>
  <c r="D61" i="36"/>
  <c r="D67" i="36" s="1"/>
  <c r="J249" i="2"/>
  <c r="E21" i="13" s="1"/>
  <c r="E57" i="39"/>
  <c r="G252" i="2"/>
  <c r="H249" i="2" s="1"/>
  <c r="D36" i="5"/>
  <c r="C51" i="11"/>
  <c r="B55" i="39"/>
  <c r="L217" i="2"/>
  <c r="J140" i="2" s="1"/>
  <c r="O19" i="42"/>
  <c r="O21" i="42" s="1"/>
  <c r="J140" i="34"/>
  <c r="F66" i="34"/>
  <c r="F68" i="34" s="1"/>
  <c r="F84" i="34" s="1"/>
  <c r="F87" i="34" s="1"/>
  <c r="A47" i="9"/>
  <c r="A48" i="9" s="1"/>
  <c r="A49" i="9" s="1"/>
  <c r="A50" i="9" s="1"/>
  <c r="A51" i="9" s="1"/>
  <c r="A52" i="9" s="1"/>
  <c r="A53" i="9" s="1"/>
  <c r="A54" i="9" s="1"/>
  <c r="A55" i="9" s="1"/>
  <c r="A56" i="9" s="1"/>
  <c r="A57" i="9" s="1"/>
  <c r="A58" i="9" s="1"/>
  <c r="A59" i="9" s="1"/>
  <c r="A60" i="9" s="1"/>
  <c r="A61" i="9" s="1"/>
  <c r="A62" i="9" s="1"/>
  <c r="A64" i="9" s="1"/>
  <c r="E149" i="2"/>
  <c r="D214" i="2"/>
  <c r="D213" i="2"/>
  <c r="G105" i="2"/>
  <c r="G156" i="2"/>
  <c r="G158" i="2" s="1"/>
  <c r="B36" i="2"/>
  <c r="B39" i="2" s="1"/>
  <c r="B41" i="2" s="1"/>
  <c r="B21" i="2"/>
  <c r="A42" i="5"/>
  <c r="A43" i="5" s="1"/>
  <c r="A44" i="5" s="1"/>
  <c r="A47" i="5" s="1"/>
  <c r="A49" i="5" s="1"/>
  <c r="F207" i="34"/>
  <c r="F210" i="34" s="1"/>
  <c r="F215" i="34" s="1"/>
  <c r="F220" i="34" s="1"/>
  <c r="F236" i="34" s="1"/>
  <c r="F214" i="34"/>
  <c r="F219" i="34" s="1"/>
  <c r="F230" i="34"/>
  <c r="B57" i="39"/>
  <c r="E239" i="2"/>
  <c r="A57" i="39"/>
  <c r="J71" i="2"/>
  <c r="G75" i="20"/>
  <c r="H75" i="13"/>
  <c r="H66" i="34"/>
  <c r="H68" i="34" s="1"/>
  <c r="H84" i="34" s="1"/>
  <c r="H87" i="34" s="1"/>
  <c r="J64" i="34"/>
  <c r="J80" i="34"/>
  <c r="J202" i="34"/>
  <c r="I214" i="34"/>
  <c r="I219" i="34" s="1"/>
  <c r="I230" i="34"/>
  <c r="I207" i="34"/>
  <c r="I210" i="34" s="1"/>
  <c r="I215" i="34" s="1"/>
  <c r="I220" i="34" s="1"/>
  <c r="I236" i="34" s="1"/>
  <c r="I66" i="34"/>
  <c r="I68" i="34" s="1"/>
  <c r="I84" i="34" s="1"/>
  <c r="I87" i="34" s="1"/>
  <c r="G66" i="34"/>
  <c r="G68" i="34" s="1"/>
  <c r="G84" i="34" s="1"/>
  <c r="G87" i="34" s="1"/>
  <c r="G153" i="34"/>
  <c r="G155" i="34" s="1"/>
  <c r="G171" i="34" s="1"/>
  <c r="G174" i="34" s="1"/>
  <c r="E207" i="34"/>
  <c r="E210" i="34" s="1"/>
  <c r="E215" i="34" s="1"/>
  <c r="E220" i="34" s="1"/>
  <c r="E236" i="34" s="1"/>
  <c r="E230" i="34"/>
  <c r="E214" i="34"/>
  <c r="E219" i="34" s="1"/>
  <c r="F153" i="34"/>
  <c r="F155" i="34" s="1"/>
  <c r="F171" i="34" s="1"/>
  <c r="F174" i="34" s="1"/>
  <c r="J144" i="34"/>
  <c r="J147" i="34" s="1"/>
  <c r="J152" i="34" s="1"/>
  <c r="C147" i="34"/>
  <c r="C152" i="34" s="1"/>
  <c r="C153" i="34" s="1"/>
  <c r="G92" i="2"/>
  <c r="I28" i="5"/>
  <c r="L92" i="2" s="1"/>
  <c r="J57" i="34"/>
  <c r="J60" i="34" s="1"/>
  <c r="J65" i="34" s="1"/>
  <c r="C60" i="34"/>
  <c r="C65" i="34" s="1"/>
  <c r="G230" i="34"/>
  <c r="G214" i="34"/>
  <c r="G219" i="34" s="1"/>
  <c r="G207" i="34"/>
  <c r="G210" i="34" s="1"/>
  <c r="G215" i="34" s="1"/>
  <c r="G220" i="34" s="1"/>
  <c r="G236" i="34" s="1"/>
  <c r="J53" i="34"/>
  <c r="J203" i="34" s="1"/>
  <c r="L259" i="2" s="1"/>
  <c r="J269" i="2" s="1"/>
  <c r="C203" i="34"/>
  <c r="H155" i="34"/>
  <c r="H171" i="34" s="1"/>
  <c r="H174" i="34" s="1"/>
  <c r="H157" i="34"/>
  <c r="H173" i="34" s="1"/>
  <c r="E156" i="34"/>
  <c r="E172" i="34" s="1"/>
  <c r="E155" i="34"/>
  <c r="E171" i="34" s="1"/>
  <c r="E174" i="34" s="1"/>
  <c r="J151" i="34"/>
  <c r="J167" i="34"/>
  <c r="G268" i="2"/>
  <c r="B63" i="34"/>
  <c r="A16" i="34"/>
  <c r="H156" i="34"/>
  <c r="H172" i="34" s="1"/>
  <c r="E157" i="34"/>
  <c r="E173" i="34" s="1"/>
  <c r="E66" i="34"/>
  <c r="E68" i="34" s="1"/>
  <c r="E84" i="34" s="1"/>
  <c r="E87" i="34" s="1"/>
  <c r="I153" i="34"/>
  <c r="I155" i="34" s="1"/>
  <c r="I171" i="34" s="1"/>
  <c r="I174" i="34" s="1"/>
  <c r="A52" i="11"/>
  <c r="A53" i="11" s="1"/>
  <c r="J229" i="34"/>
  <c r="J234" i="34" s="1"/>
  <c r="J237" i="34" s="1"/>
  <c r="L258" i="2"/>
  <c r="H207" i="34"/>
  <c r="H210" i="34" s="1"/>
  <c r="H215" i="34" s="1"/>
  <c r="H220" i="34" s="1"/>
  <c r="H236" i="34" s="1"/>
  <c r="H230" i="34"/>
  <c r="H214" i="34"/>
  <c r="H219" i="34" s="1"/>
  <c r="K57" i="6"/>
  <c r="K31" i="6" s="1"/>
  <c r="K33" i="6" s="1"/>
  <c r="E41" i="6"/>
  <c r="E57" i="6" s="1"/>
  <c r="E31" i="6" s="1"/>
  <c r="E33" i="6" s="1"/>
  <c r="G113" i="2" s="1"/>
  <c r="L113" i="2" s="1"/>
  <c r="C214" i="34"/>
  <c r="C219" i="34" s="1"/>
  <c r="C230" i="34"/>
  <c r="C207" i="34"/>
  <c r="J161" i="2" l="1"/>
  <c r="L161" i="2" s="1"/>
  <c r="G76" i="20" s="1"/>
  <c r="G77" i="20" s="1"/>
  <c r="G78" i="20" s="1"/>
  <c r="G79" i="20" s="1"/>
  <c r="D97" i="20" s="1"/>
  <c r="G48" i="11"/>
  <c r="G51" i="11" s="1"/>
  <c r="G61" i="11" s="1"/>
  <c r="G93" i="2"/>
  <c r="F104" i="20"/>
  <c r="D105" i="20" s="1"/>
  <c r="E105" i="20" s="1"/>
  <c r="F105" i="20" s="1"/>
  <c r="D106" i="20" s="1"/>
  <c r="E67" i="11"/>
  <c r="E68" i="11" s="1"/>
  <c r="E69" i="11" s="1"/>
  <c r="I25" i="35"/>
  <c r="L25" i="35" s="1"/>
  <c r="G67" i="11"/>
  <c r="I67" i="11"/>
  <c r="I68" i="11" s="1"/>
  <c r="I69" i="11" s="1"/>
  <c r="M57" i="11"/>
  <c r="E58" i="11"/>
  <c r="E59" i="11" s="1"/>
  <c r="H70" i="34"/>
  <c r="H86" i="34" s="1"/>
  <c r="E21" i="20"/>
  <c r="H251" i="2"/>
  <c r="H250" i="2"/>
  <c r="I250" i="2" s="1"/>
  <c r="L250" i="2" s="1"/>
  <c r="E94" i="2"/>
  <c r="G157" i="34"/>
  <c r="G173" i="34" s="1"/>
  <c r="J228" i="2"/>
  <c r="L228" i="2" s="1"/>
  <c r="L233" i="2" s="1"/>
  <c r="L235" i="2" s="1"/>
  <c r="J67" i="2" s="1"/>
  <c r="L67" i="2" s="1"/>
  <c r="J149" i="2"/>
  <c r="L149" i="2" s="1"/>
  <c r="F69" i="34"/>
  <c r="F85" i="34" s="1"/>
  <c r="G235" i="34"/>
  <c r="I235" i="34"/>
  <c r="F235" i="34"/>
  <c r="I157" i="34"/>
  <c r="I173" i="34" s="1"/>
  <c r="J150" i="2"/>
  <c r="L150" i="2" s="1"/>
  <c r="H235" i="34"/>
  <c r="F70" i="34"/>
  <c r="F86" i="34" s="1"/>
  <c r="C155" i="34"/>
  <c r="C171" i="34" s="1"/>
  <c r="C174" i="34" s="1"/>
  <c r="C156" i="34"/>
  <c r="C172" i="34" s="1"/>
  <c r="H268" i="2"/>
  <c r="J268" i="2" s="1"/>
  <c r="L268" i="2" s="1"/>
  <c r="L271" i="2" s="1"/>
  <c r="J66" i="34"/>
  <c r="J68" i="34" s="1"/>
  <c r="J84" i="34" s="1"/>
  <c r="J87" i="34" s="1"/>
  <c r="B13" i="34"/>
  <c r="A19" i="34"/>
  <c r="A20" i="34" s="1"/>
  <c r="A21" i="34" s="1"/>
  <c r="A22" i="34" s="1"/>
  <c r="A23" i="34" s="1"/>
  <c r="A24" i="34" s="1"/>
  <c r="A25" i="34" s="1"/>
  <c r="J153" i="34"/>
  <c r="J155" i="34" s="1"/>
  <c r="J171" i="34" s="1"/>
  <c r="J174" i="34" s="1"/>
  <c r="F156" i="34"/>
  <c r="F172" i="34" s="1"/>
  <c r="I69" i="34"/>
  <c r="I85" i="34" s="1"/>
  <c r="D44" i="5"/>
  <c r="E70" i="34"/>
  <c r="E86" i="34" s="1"/>
  <c r="G70" i="34"/>
  <c r="G86" i="34" s="1"/>
  <c r="C210" i="34"/>
  <c r="C215" i="34" s="1"/>
  <c r="C220" i="34" s="1"/>
  <c r="C236" i="34" s="1"/>
  <c r="J207" i="34"/>
  <c r="A54" i="11"/>
  <c r="A55" i="11" s="1"/>
  <c r="A60" i="39"/>
  <c r="A63" i="39" s="1"/>
  <c r="A64" i="39" s="1"/>
  <c r="A65" i="39" s="1"/>
  <c r="A66" i="39" s="1"/>
  <c r="A68" i="39" s="1"/>
  <c r="D249" i="2"/>
  <c r="B42" i="2"/>
  <c r="C235" i="34"/>
  <c r="I156" i="34"/>
  <c r="I172" i="34" s="1"/>
  <c r="E69" i="34"/>
  <c r="E85" i="34" s="1"/>
  <c r="C66" i="34"/>
  <c r="C70" i="34" s="1"/>
  <c r="C86" i="34" s="1"/>
  <c r="C157" i="34"/>
  <c r="C173" i="34" s="1"/>
  <c r="E235" i="34"/>
  <c r="G69" i="34"/>
  <c r="G85" i="34" s="1"/>
  <c r="G156" i="34"/>
  <c r="G172" i="34" s="1"/>
  <c r="J230" i="34"/>
  <c r="J214" i="34"/>
  <c r="J219" i="34" s="1"/>
  <c r="H69" i="34"/>
  <c r="H85" i="34" s="1"/>
  <c r="F157" i="34"/>
  <c r="F173" i="34" s="1"/>
  <c r="E150" i="2"/>
  <c r="A67" i="9"/>
  <c r="A68" i="9" s="1"/>
  <c r="A69" i="9" s="1"/>
  <c r="A70" i="9" s="1"/>
  <c r="A71" i="9" s="1"/>
  <c r="J64" i="2"/>
  <c r="L64" i="2" s="1"/>
  <c r="J106" i="2"/>
  <c r="L106" i="2" s="1"/>
  <c r="L140" i="2"/>
  <c r="C53" i="11"/>
  <c r="G27" i="35"/>
  <c r="I26" i="35"/>
  <c r="A50" i="5"/>
  <c r="A51" i="5" s="1"/>
  <c r="I70" i="34"/>
  <c r="I86" i="34" s="1"/>
  <c r="H76" i="13" l="1"/>
  <c r="H77" i="13" s="1"/>
  <c r="H78" i="13" s="1"/>
  <c r="H79" i="13" s="1"/>
  <c r="D96" i="13" s="1"/>
  <c r="J97" i="13" s="1"/>
  <c r="E100" i="13" s="1"/>
  <c r="F100" i="13" s="1"/>
  <c r="F59" i="13"/>
  <c r="G59" i="20"/>
  <c r="A73" i="9"/>
  <c r="E151" i="2" s="1"/>
  <c r="M48" i="11"/>
  <c r="L251" i="2"/>
  <c r="I251" i="2"/>
  <c r="H252" i="2"/>
  <c r="D22" i="20"/>
  <c r="F22" i="20" s="1"/>
  <c r="D22" i="13"/>
  <c r="F22" i="13" s="1"/>
  <c r="J108" i="2"/>
  <c r="L108" i="2" s="1"/>
  <c r="J147" i="2"/>
  <c r="L147" i="2" s="1"/>
  <c r="J65" i="2"/>
  <c r="L65" i="2" s="1"/>
  <c r="J162" i="2"/>
  <c r="L162" i="2" s="1"/>
  <c r="J110" i="2"/>
  <c r="L110" i="2" s="1"/>
  <c r="J77" i="2"/>
  <c r="L77" i="2" s="1"/>
  <c r="L85" i="2" s="1"/>
  <c r="J152" i="2"/>
  <c r="L152" i="2" s="1"/>
  <c r="J66" i="2"/>
  <c r="L66" i="2" s="1"/>
  <c r="J102" i="2"/>
  <c r="L102" i="2" s="1"/>
  <c r="J76" i="2"/>
  <c r="L76" i="2" s="1"/>
  <c r="J75" i="2"/>
  <c r="L75" i="2" s="1"/>
  <c r="J169" i="2"/>
  <c r="L169" i="2" s="1"/>
  <c r="J163" i="2"/>
  <c r="L163" i="2" s="1"/>
  <c r="C55" i="11"/>
  <c r="D51" i="5"/>
  <c r="J70" i="34"/>
  <c r="J86" i="34" s="1"/>
  <c r="J157" i="34"/>
  <c r="J173" i="34" s="1"/>
  <c r="J156" i="34"/>
  <c r="J172" i="34" s="1"/>
  <c r="E106" i="20"/>
  <c r="F106" i="20" s="1"/>
  <c r="D107" i="20" s="1"/>
  <c r="A74" i="39"/>
  <c r="A75" i="39" s="1"/>
  <c r="B50" i="39"/>
  <c r="B79" i="34"/>
  <c r="A28" i="34"/>
  <c r="L26" i="35"/>
  <c r="M51" i="11"/>
  <c r="G53" i="11"/>
  <c r="L105" i="2"/>
  <c r="B43" i="2"/>
  <c r="B45" i="2" s="1"/>
  <c r="B63" i="2" s="1"/>
  <c r="G269" i="2"/>
  <c r="J235" i="34"/>
  <c r="G28" i="35"/>
  <c r="I27" i="35"/>
  <c r="L27" i="35" s="1"/>
  <c r="A56" i="11"/>
  <c r="C56" i="11"/>
  <c r="J69" i="34"/>
  <c r="J85" i="34" s="1"/>
  <c r="A52" i="5"/>
  <c r="E95" i="2" s="1"/>
  <c r="M61" i="11"/>
  <c r="G63" i="11"/>
  <c r="L83" i="2"/>
  <c r="C68" i="34"/>
  <c r="C84" i="34" s="1"/>
  <c r="C87" i="34" s="1"/>
  <c r="C69" i="34"/>
  <c r="C85" i="34" s="1"/>
  <c r="L262" i="2"/>
  <c r="L265" i="2" s="1"/>
  <c r="J210" i="34"/>
  <c r="J215" i="34" s="1"/>
  <c r="J220" i="34" s="1"/>
  <c r="L165" i="2" l="1"/>
  <c r="L80" i="2"/>
  <c r="L70" i="2"/>
  <c r="J70" i="2" s="1"/>
  <c r="J148" i="2" s="1"/>
  <c r="L148" i="2" s="1"/>
  <c r="I249" i="2"/>
  <c r="D23" i="20"/>
  <c r="F23" i="20" s="1"/>
  <c r="D23" i="13"/>
  <c r="F23" i="13" s="1"/>
  <c r="L84" i="2"/>
  <c r="E45" i="2"/>
  <c r="D322" i="2"/>
  <c r="J236" i="34"/>
  <c r="G270" i="2"/>
  <c r="G29" i="35"/>
  <c r="I28" i="35"/>
  <c r="L28" i="35" s="1"/>
  <c r="B76" i="39"/>
  <c r="A76" i="39"/>
  <c r="E240" i="2"/>
  <c r="M63" i="11"/>
  <c r="G65" i="11"/>
  <c r="G68" i="11" s="1"/>
  <c r="M68" i="11" s="1"/>
  <c r="F64" i="13"/>
  <c r="G64" i="20"/>
  <c r="C57" i="11"/>
  <c r="A57" i="11"/>
  <c r="M53" i="11"/>
  <c r="G55" i="11"/>
  <c r="G58" i="11" s="1"/>
  <c r="M58" i="11" s="1"/>
  <c r="A29" i="34"/>
  <c r="E107" i="20"/>
  <c r="L269" i="2"/>
  <c r="H269" i="2"/>
  <c r="G100" i="13"/>
  <c r="D101" i="13"/>
  <c r="B64" i="2"/>
  <c r="B65" i="2" s="1"/>
  <c r="C75" i="13"/>
  <c r="E212" i="2"/>
  <c r="C75" i="20"/>
  <c r="L154" i="2" l="1"/>
  <c r="L156" i="2" s="1"/>
  <c r="L158" i="2" s="1"/>
  <c r="L87" i="2"/>
  <c r="J87" i="2" s="1"/>
  <c r="D21" i="20"/>
  <c r="F21" i="20" s="1"/>
  <c r="F24" i="20" s="1"/>
  <c r="F29" i="20" s="1"/>
  <c r="D21" i="13"/>
  <c r="F21" i="13" s="1"/>
  <c r="F24" i="13" s="1"/>
  <c r="E29" i="13" s="1"/>
  <c r="L249" i="2"/>
  <c r="L252" i="2" s="1"/>
  <c r="G178" i="2" s="1"/>
  <c r="F35" i="20" s="1"/>
  <c r="J111" i="2"/>
  <c r="L111" i="2" s="1"/>
  <c r="J109" i="2"/>
  <c r="L109" i="2" s="1"/>
  <c r="J173" i="2"/>
  <c r="L173" i="2" s="1"/>
  <c r="L174" i="2" s="1"/>
  <c r="I29" i="35"/>
  <c r="G30" i="35"/>
  <c r="B66" i="2"/>
  <c r="B67" i="2" s="1"/>
  <c r="F107" i="20"/>
  <c r="D108" i="20" s="1"/>
  <c r="L270" i="2"/>
  <c r="H270" i="2"/>
  <c r="A58" i="11"/>
  <c r="C58" i="11"/>
  <c r="E101" i="13"/>
  <c r="A30" i="34"/>
  <c r="A31" i="34" s="1"/>
  <c r="J183" i="2" l="1"/>
  <c r="J184" i="2"/>
  <c r="J186" i="2"/>
  <c r="L186" i="2" s="1"/>
  <c r="E37" i="13" s="1"/>
  <c r="L197" i="2"/>
  <c r="E35" i="13"/>
  <c r="G197" i="2"/>
  <c r="B31" i="34"/>
  <c r="E108" i="20"/>
  <c r="F108" i="20" s="1"/>
  <c r="D109" i="20" s="1"/>
  <c r="A32" i="34"/>
  <c r="B32" i="34"/>
  <c r="F101" i="13"/>
  <c r="B70" i="2"/>
  <c r="B72" i="2" s="1"/>
  <c r="B73" i="2" s="1"/>
  <c r="E70" i="2"/>
  <c r="L29" i="35"/>
  <c r="A59" i="11"/>
  <c r="A61" i="11" s="1"/>
  <c r="A62" i="11" s="1"/>
  <c r="A63" i="11" s="1"/>
  <c r="C59" i="11"/>
  <c r="G31" i="35"/>
  <c r="I30" i="35"/>
  <c r="L30" i="35" s="1"/>
  <c r="F37" i="20" l="1"/>
  <c r="A64" i="11"/>
  <c r="A65" i="11" s="1"/>
  <c r="D102" i="13"/>
  <c r="G101" i="13"/>
  <c r="E109" i="20"/>
  <c r="F109" i="20" s="1"/>
  <c r="D110" i="20" s="1"/>
  <c r="A34" i="34"/>
  <c r="I31" i="35"/>
  <c r="L31" i="35" s="1"/>
  <c r="G32" i="35"/>
  <c r="B74" i="2"/>
  <c r="B75" i="2" s="1"/>
  <c r="C65" i="11" l="1"/>
  <c r="B76" i="2"/>
  <c r="B77" i="2" s="1"/>
  <c r="E110" i="20"/>
  <c r="F110" i="20" s="1"/>
  <c r="D111" i="20" s="1"/>
  <c r="E83" i="2"/>
  <c r="A35" i="34"/>
  <c r="A66" i="11"/>
  <c r="A67" i="11" s="1"/>
  <c r="C66" i="11"/>
  <c r="I32" i="35"/>
  <c r="G36" i="35"/>
  <c r="G39" i="35"/>
  <c r="E102" i="13"/>
  <c r="E84" i="2" l="1"/>
  <c r="E111" i="20"/>
  <c r="F111" i="20" s="1"/>
  <c r="D112" i="20" s="1"/>
  <c r="F102" i="13"/>
  <c r="G40" i="35"/>
  <c r="C67" i="11"/>
  <c r="A68" i="11"/>
  <c r="B80" i="2"/>
  <c r="B82" i="2" s="1"/>
  <c r="B83" i="2" s="1"/>
  <c r="E85" i="2"/>
  <c r="E80" i="2"/>
  <c r="C68" i="11"/>
  <c r="L32" i="35"/>
  <c r="L33" i="35" s="1"/>
  <c r="E36" i="35" s="1"/>
  <c r="I33" i="35"/>
  <c r="A36" i="34"/>
  <c r="A37" i="34" s="1"/>
  <c r="C64" i="20" l="1"/>
  <c r="B84" i="2"/>
  <c r="B85" i="2" s="1"/>
  <c r="B87" i="2" s="1"/>
  <c r="C48" i="11" s="1"/>
  <c r="C64" i="13"/>
  <c r="E112" i="20"/>
  <c r="F112" i="20" s="1"/>
  <c r="B37" i="34"/>
  <c r="I36" i="35"/>
  <c r="L36" i="35" s="1"/>
  <c r="C69" i="11"/>
  <c r="A69" i="11"/>
  <c r="G41" i="35"/>
  <c r="A38" i="34"/>
  <c r="B38" i="34"/>
  <c r="D103" i="13"/>
  <c r="G102" i="13"/>
  <c r="G42" i="35" l="1"/>
  <c r="E39" i="35"/>
  <c r="J39" i="35"/>
  <c r="A40" i="34"/>
  <c r="D113" i="20"/>
  <c r="B90" i="2"/>
  <c r="B91" i="2" s="1"/>
  <c r="E103" i="13"/>
  <c r="F103" i="13" s="1"/>
  <c r="E87" i="2"/>
  <c r="D104" i="13" l="1"/>
  <c r="G103" i="13"/>
  <c r="J40" i="35"/>
  <c r="J41" i="35" s="1"/>
  <c r="J42" i="35" s="1"/>
  <c r="J43" i="35" s="1"/>
  <c r="J44" i="35" s="1"/>
  <c r="J45" i="35" s="1"/>
  <c r="J46" i="35" s="1"/>
  <c r="J47" i="35" s="1"/>
  <c r="J48" i="35" s="1"/>
  <c r="J49" i="35" s="1"/>
  <c r="J50" i="35" s="1"/>
  <c r="E113" i="20"/>
  <c r="F113" i="20" s="1"/>
  <c r="L39" i="35"/>
  <c r="E40" i="35" s="1"/>
  <c r="I39" i="35"/>
  <c r="G43" i="35"/>
  <c r="B92" i="2"/>
  <c r="B93" i="2" s="1"/>
  <c r="B94" i="2" s="1"/>
  <c r="B95" i="2" s="1"/>
  <c r="B96" i="2" s="1"/>
  <c r="A41" i="34"/>
  <c r="D114" i="20" l="1"/>
  <c r="E96" i="2"/>
  <c r="A42" i="34"/>
  <c r="A43" i="34" s="1"/>
  <c r="B98" i="2"/>
  <c r="B100" i="2" s="1"/>
  <c r="B102" i="2" s="1"/>
  <c r="B104" i="2" s="1"/>
  <c r="B105" i="2" s="1"/>
  <c r="L40" i="35"/>
  <c r="E41" i="35" s="1"/>
  <c r="I40" i="35"/>
  <c r="G44" i="35"/>
  <c r="J53" i="35"/>
  <c r="J55" i="35" s="1"/>
  <c r="E104" i="13"/>
  <c r="F104" i="13" s="1"/>
  <c r="D105" i="13" l="1"/>
  <c r="G104" i="13"/>
  <c r="B106" i="2"/>
  <c r="B108" i="2" s="1"/>
  <c r="B109" i="2" s="1"/>
  <c r="B110" i="2" s="1"/>
  <c r="B111" i="2" s="1"/>
  <c r="B112" i="2" s="1"/>
  <c r="B113" i="2" s="1"/>
  <c r="B114" i="2" s="1"/>
  <c r="B116" i="2" s="1"/>
  <c r="B43" i="34"/>
  <c r="L41" i="35"/>
  <c r="E42" i="35" s="1"/>
  <c r="I41" i="35"/>
  <c r="A44" i="34"/>
  <c r="B44" i="34"/>
  <c r="G45" i="35"/>
  <c r="E114" i="20"/>
  <c r="F114" i="20" s="1"/>
  <c r="D118" i="2" l="1"/>
  <c r="D115" i="20"/>
  <c r="E115" i="20" s="1"/>
  <c r="F115" i="20" s="1"/>
  <c r="D116" i="20" s="1"/>
  <c r="E114" i="2"/>
  <c r="L42" i="35"/>
  <c r="E43" i="35" s="1"/>
  <c r="I42" i="35"/>
  <c r="B118" i="2"/>
  <c r="D318" i="2"/>
  <c r="G46" i="35"/>
  <c r="E105" i="13"/>
  <c r="F105" i="13" s="1"/>
  <c r="A46" i="34"/>
  <c r="D106" i="13" l="1"/>
  <c r="G105" i="13"/>
  <c r="C28" i="13"/>
  <c r="B133" i="2"/>
  <c r="C28" i="20"/>
  <c r="E116" i="20"/>
  <c r="F116" i="20" s="1"/>
  <c r="D117" i="20" s="1"/>
  <c r="A47" i="34"/>
  <c r="G47" i="35"/>
  <c r="L43" i="35"/>
  <c r="E44" i="35" s="1"/>
  <c r="I43" i="35"/>
  <c r="L44" i="35" l="1"/>
  <c r="E45" i="35" s="1"/>
  <c r="I44" i="35"/>
  <c r="E117" i="20"/>
  <c r="F117" i="20" s="1"/>
  <c r="D118" i="20" s="1"/>
  <c r="A48" i="34"/>
  <c r="A49" i="34" s="1"/>
  <c r="G48" i="35"/>
  <c r="B134" i="2"/>
  <c r="B135" i="2" s="1"/>
  <c r="E136" i="2" s="1"/>
  <c r="E106" i="13"/>
  <c r="F106" i="13" s="1"/>
  <c r="D107" i="13" l="1"/>
  <c r="E107" i="13" s="1"/>
  <c r="F107" i="13" s="1"/>
  <c r="D108" i="13" s="1"/>
  <c r="G106" i="13"/>
  <c r="G49" i="35"/>
  <c r="E118" i="20"/>
  <c r="F118" i="20" s="1"/>
  <c r="A50" i="34"/>
  <c r="B52" i="34"/>
  <c r="B50" i="34"/>
  <c r="B136" i="2"/>
  <c r="B137" i="2" s="1"/>
  <c r="B49" i="34"/>
  <c r="L45" i="35"/>
  <c r="E46" i="35" s="1"/>
  <c r="I45" i="35"/>
  <c r="G107" i="13" l="1"/>
  <c r="D119" i="20"/>
  <c r="L46" i="35"/>
  <c r="E47" i="35" s="1"/>
  <c r="I46" i="35"/>
  <c r="E108" i="13"/>
  <c r="F108" i="13" s="1"/>
  <c r="B138" i="2"/>
  <c r="D313" i="2"/>
  <c r="E41" i="2"/>
  <c r="A52" i="34"/>
  <c r="B53" i="34"/>
  <c r="G50" i="35"/>
  <c r="D109" i="13" l="1"/>
  <c r="G108" i="13"/>
  <c r="B139" i="2"/>
  <c r="E140" i="2" s="1"/>
  <c r="B57" i="34"/>
  <c r="A53" i="34"/>
  <c r="B64" i="34"/>
  <c r="L47" i="35"/>
  <c r="E48" i="35" s="1"/>
  <c r="I47" i="35"/>
  <c r="E119" i="20"/>
  <c r="F119" i="20" s="1"/>
  <c r="D120" i="20" l="1"/>
  <c r="A56" i="34"/>
  <c r="B203" i="34"/>
  <c r="B80" i="34"/>
  <c r="B140" i="2"/>
  <c r="D315" i="2"/>
  <c r="L48" i="35"/>
  <c r="E49" i="35" s="1"/>
  <c r="I48" i="35"/>
  <c r="E109" i="13"/>
  <c r="F109" i="13" s="1"/>
  <c r="D110" i="13" l="1"/>
  <c r="G109" i="13"/>
  <c r="A57" i="34"/>
  <c r="A58" i="34" s="1"/>
  <c r="L49" i="35"/>
  <c r="E50" i="35" s="1"/>
  <c r="I49" i="35"/>
  <c r="B142" i="2"/>
  <c r="E105" i="2"/>
  <c r="D312" i="2"/>
  <c r="E120" i="20"/>
  <c r="F120" i="20" s="1"/>
  <c r="D121" i="20" l="1"/>
  <c r="E121" i="20" s="1"/>
  <c r="F121" i="20" s="1"/>
  <c r="B143" i="2"/>
  <c r="A59" i="34"/>
  <c r="L50" i="35"/>
  <c r="I50" i="35"/>
  <c r="I51" i="35" s="1"/>
  <c r="E110" i="13"/>
  <c r="F110" i="13" s="1"/>
  <c r="D122" i="20" l="1"/>
  <c r="E122" i="20" s="1"/>
  <c r="F122" i="20" s="1"/>
  <c r="D111" i="13"/>
  <c r="E111" i="13" s="1"/>
  <c r="G110" i="13"/>
  <c r="A60" i="34"/>
  <c r="B144" i="2"/>
  <c r="B145" i="2" s="1"/>
  <c r="B146" i="2" s="1"/>
  <c r="B147" i="2" s="1"/>
  <c r="E148" i="2"/>
  <c r="F111" i="13" l="1"/>
  <c r="D112" i="13" s="1"/>
  <c r="E112" i="13" s="1"/>
  <c r="F112" i="13" s="1"/>
  <c r="D113" i="13" s="1"/>
  <c r="D123" i="20"/>
  <c r="B148" i="2"/>
  <c r="B149" i="2" s="1"/>
  <c r="B150" i="2" s="1"/>
  <c r="B151" i="2" s="1"/>
  <c r="B152" i="2" s="1"/>
  <c r="B154" i="2" s="1"/>
  <c r="B65" i="34"/>
  <c r="A63" i="34"/>
  <c r="E147" i="2"/>
  <c r="G111" i="13" l="1"/>
  <c r="E154" i="2"/>
  <c r="A64" i="34"/>
  <c r="G112" i="13"/>
  <c r="E113" i="13"/>
  <c r="F113" i="13" s="1"/>
  <c r="D316" i="2"/>
  <c r="B156" i="2"/>
  <c r="E156" i="2"/>
  <c r="E123" i="20"/>
  <c r="F123" i="20" s="1"/>
  <c r="D124" i="20" s="1"/>
  <c r="D114" i="13" l="1"/>
  <c r="G113" i="13"/>
  <c r="B157" i="2"/>
  <c r="E158" i="2" s="1"/>
  <c r="A65" i="34"/>
  <c r="E124" i="20"/>
  <c r="F124" i="20" s="1"/>
  <c r="D125" i="20" s="1"/>
  <c r="A66" i="34" l="1"/>
  <c r="B70" i="34" s="1"/>
  <c r="E27" i="2"/>
  <c r="B158" i="2"/>
  <c r="D331" i="2"/>
  <c r="D329" i="2"/>
  <c r="C48" i="13"/>
  <c r="C48" i="20"/>
  <c r="D326" i="2"/>
  <c r="E125" i="20"/>
  <c r="F125" i="20" s="1"/>
  <c r="D126" i="20" s="1"/>
  <c r="E114" i="13"/>
  <c r="F114" i="13" s="1"/>
  <c r="D115" i="13" s="1"/>
  <c r="E126" i="20" l="1"/>
  <c r="F126" i="20" s="1"/>
  <c r="D127" i="20" s="1"/>
  <c r="E115" i="13"/>
  <c r="F115" i="13" s="1"/>
  <c r="A68" i="34"/>
  <c r="B68" i="34"/>
  <c r="B69" i="34"/>
  <c r="G114" i="13"/>
  <c r="B160" i="2"/>
  <c r="B161" i="2" s="1"/>
  <c r="D116" i="13" l="1"/>
  <c r="G115" i="13"/>
  <c r="A69" i="34"/>
  <c r="C76" i="20"/>
  <c r="C76" i="13"/>
  <c r="C59" i="20"/>
  <c r="C59" i="13"/>
  <c r="B162" i="2"/>
  <c r="B163" i="2" s="1"/>
  <c r="B165" i="2" s="1"/>
  <c r="E31" i="2"/>
  <c r="E127" i="20"/>
  <c r="F127" i="20" s="1"/>
  <c r="D128" i="20" l="1"/>
  <c r="E165" i="2"/>
  <c r="B167" i="2"/>
  <c r="B168" i="2" s="1"/>
  <c r="B169" i="2" s="1"/>
  <c r="A70" i="34"/>
  <c r="E116" i="13"/>
  <c r="F116" i="13" s="1"/>
  <c r="D117" i="13" l="1"/>
  <c r="G116" i="13"/>
  <c r="A72" i="34"/>
  <c r="A74" i="34" s="1"/>
  <c r="A75" i="34" s="1"/>
  <c r="A76" i="34" s="1"/>
  <c r="A79" i="34" s="1"/>
  <c r="B170" i="2"/>
  <c r="B171" i="2" s="1"/>
  <c r="B172" i="2" s="1"/>
  <c r="B173" i="2" s="1"/>
  <c r="B174" i="2" s="1"/>
  <c r="E128" i="20"/>
  <c r="F128" i="20" s="1"/>
  <c r="D129" i="20" l="1"/>
  <c r="E129" i="20" s="1"/>
  <c r="F129" i="20" s="1"/>
  <c r="B176" i="2"/>
  <c r="B177" i="2" s="1"/>
  <c r="E174" i="2"/>
  <c r="E117" i="13"/>
  <c r="F117" i="13" s="1"/>
  <c r="A80" i="34"/>
  <c r="B84" i="34"/>
  <c r="D130" i="20" l="1"/>
  <c r="D118" i="13"/>
  <c r="G117" i="13"/>
  <c r="A81" i="34"/>
  <c r="B85" i="34"/>
  <c r="B178" i="2"/>
  <c r="D181" i="2"/>
  <c r="C35" i="13" l="1"/>
  <c r="B179" i="2"/>
  <c r="B180" i="2" s="1"/>
  <c r="B181" i="2" s="1"/>
  <c r="C35" i="20"/>
  <c r="E118" i="13"/>
  <c r="F118" i="13" s="1"/>
  <c r="A84" i="34"/>
  <c r="A85" i="34" s="1"/>
  <c r="A86" i="34" s="1"/>
  <c r="A87" i="34" s="1"/>
  <c r="A96" i="34" s="1"/>
  <c r="B86" i="34"/>
  <c r="E130" i="20"/>
  <c r="F130" i="20" s="1"/>
  <c r="D131" i="20" s="1"/>
  <c r="D119" i="13" l="1"/>
  <c r="G118" i="13"/>
  <c r="A97" i="34"/>
  <c r="B183" i="34"/>
  <c r="B182" i="2"/>
  <c r="E131" i="20"/>
  <c r="F131" i="20" s="1"/>
  <c r="D132" i="20" l="1"/>
  <c r="A98" i="34"/>
  <c r="B184" i="34"/>
  <c r="D356" i="2"/>
  <c r="B183" i="2"/>
  <c r="E186" i="2"/>
  <c r="E119" i="13"/>
  <c r="F119" i="13" s="1"/>
  <c r="D120" i="13" s="1"/>
  <c r="E120" i="13" l="1"/>
  <c r="F120" i="13" s="1"/>
  <c r="E132" i="20"/>
  <c r="F132" i="20" s="1"/>
  <c r="D133" i="20" s="1"/>
  <c r="A99" i="34"/>
  <c r="B185" i="34"/>
  <c r="B184" i="2"/>
  <c r="E187" i="2"/>
  <c r="G119" i="13"/>
  <c r="D121" i="13" l="1"/>
  <c r="G120" i="13"/>
  <c r="A100" i="34"/>
  <c r="A101" i="34" s="1"/>
  <c r="B186" i="34"/>
  <c r="E133" i="20"/>
  <c r="F133" i="20" s="1"/>
  <c r="B185" i="2"/>
  <c r="E188" i="2"/>
  <c r="D134" i="20" l="1"/>
  <c r="B186" i="2"/>
  <c r="B187" i="2" s="1"/>
  <c r="B188" i="2" s="1"/>
  <c r="B189" i="2" s="1"/>
  <c r="E121" i="13"/>
  <c r="F121" i="13" s="1"/>
  <c r="B150" i="34"/>
  <c r="A103" i="34"/>
  <c r="D122" i="13" l="1"/>
  <c r="G121" i="13"/>
  <c r="B100" i="34"/>
  <c r="A106" i="34"/>
  <c r="A107" i="34" s="1"/>
  <c r="A108" i="34" s="1"/>
  <c r="A109" i="34" s="1"/>
  <c r="A110" i="34" s="1"/>
  <c r="A111" i="34" s="1"/>
  <c r="A112" i="34" s="1"/>
  <c r="C50" i="20"/>
  <c r="B191" i="2"/>
  <c r="E34" i="2" s="1"/>
  <c r="C50" i="13"/>
  <c r="E189" i="2"/>
  <c r="E134" i="20"/>
  <c r="F134" i="20" s="1"/>
  <c r="D135" i="20" l="1"/>
  <c r="A115" i="34"/>
  <c r="B166" i="34"/>
  <c r="B193" i="2"/>
  <c r="C49" i="13"/>
  <c r="C49" i="20"/>
  <c r="E185" i="2"/>
  <c r="E122" i="13"/>
  <c r="F122" i="13" s="1"/>
  <c r="D123" i="13" l="1"/>
  <c r="G122" i="13"/>
  <c r="A116" i="34"/>
  <c r="D320" i="2"/>
  <c r="B195" i="2"/>
  <c r="E135" i="20"/>
  <c r="F135" i="20" s="1"/>
  <c r="D136" i="20" s="1"/>
  <c r="A117" i="34" l="1"/>
  <c r="A118" i="34" s="1"/>
  <c r="E136" i="20"/>
  <c r="F136" i="20" s="1"/>
  <c r="D197" i="2"/>
  <c r="B197" i="2"/>
  <c r="E123" i="13"/>
  <c r="F123" i="13" s="1"/>
  <c r="D124" i="13" s="1"/>
  <c r="D137" i="20" l="1"/>
  <c r="E137" i="20" s="1"/>
  <c r="F137" i="20" s="1"/>
  <c r="B199" i="2"/>
  <c r="D200" i="2"/>
  <c r="E124" i="13"/>
  <c r="F124" i="13" s="1"/>
  <c r="B118" i="34"/>
  <c r="G123" i="13"/>
  <c r="A119" i="34"/>
  <c r="B119" i="34"/>
  <c r="D125" i="13" l="1"/>
  <c r="G124" i="13"/>
  <c r="D138" i="20"/>
  <c r="A121" i="34"/>
  <c r="E13" i="2"/>
  <c r="B212" i="2"/>
  <c r="E138" i="20" l="1"/>
  <c r="F138" i="20" s="1"/>
  <c r="D139" i="20" s="1"/>
  <c r="B213" i="2"/>
  <c r="B214" i="2" s="1"/>
  <c r="B215" i="2" s="1"/>
  <c r="A122" i="34"/>
  <c r="E125" i="13"/>
  <c r="F125" i="13" s="1"/>
  <c r="D126" i="13" s="1"/>
  <c r="E126" i="13" l="1"/>
  <c r="F126" i="13" s="1"/>
  <c r="D127" i="13" s="1"/>
  <c r="E217" i="2"/>
  <c r="B217" i="2"/>
  <c r="B226" i="2" s="1"/>
  <c r="B227" i="2" s="1"/>
  <c r="B228" i="2" s="1"/>
  <c r="E63" i="2"/>
  <c r="E139" i="20"/>
  <c r="F139" i="20" s="1"/>
  <c r="D140" i="20" s="1"/>
  <c r="E215" i="2"/>
  <c r="G125" i="13"/>
  <c r="A123" i="34"/>
  <c r="A124" i="34" s="1"/>
  <c r="E140" i="20" l="1"/>
  <c r="F140" i="20" s="1"/>
  <c r="G126" i="13"/>
  <c r="E127" i="13"/>
  <c r="F127" i="13" s="1"/>
  <c r="A125" i="34"/>
  <c r="B125" i="34"/>
  <c r="B124" i="34"/>
  <c r="B229" i="2"/>
  <c r="B231" i="2" s="1"/>
  <c r="B232" i="2" s="1"/>
  <c r="B233" i="2" s="1"/>
  <c r="B235" i="2" s="1"/>
  <c r="B238" i="2" s="1"/>
  <c r="B239" i="2" s="1"/>
  <c r="B240" i="2" s="1"/>
  <c r="B241" i="2" s="1"/>
  <c r="B242" i="2" s="1"/>
  <c r="D141" i="20" l="1"/>
  <c r="E141" i="20" s="1"/>
  <c r="F141" i="20" s="1"/>
  <c r="D128" i="13"/>
  <c r="E128" i="13" s="1"/>
  <c r="F128" i="13" s="1"/>
  <c r="G127" i="13"/>
  <c r="A127" i="34"/>
  <c r="E233" i="2"/>
  <c r="B243" i="2"/>
  <c r="D142" i="20" l="1"/>
  <c r="D129" i="13"/>
  <c r="G128" i="13"/>
  <c r="D250" i="2"/>
  <c r="B244" i="2"/>
  <c r="B245" i="2" s="1"/>
  <c r="B246" i="2" s="1"/>
  <c r="A128" i="34"/>
  <c r="D251" i="2" l="1"/>
  <c r="B249" i="2"/>
  <c r="E129" i="13"/>
  <c r="F129" i="13" s="1"/>
  <c r="D130" i="13" s="1"/>
  <c r="E246" i="2"/>
  <c r="A129" i="34"/>
  <c r="A130" i="34" s="1"/>
  <c r="E142" i="20"/>
  <c r="F142" i="20" s="1"/>
  <c r="D143" i="20" l="1"/>
  <c r="E143" i="20" s="1"/>
  <c r="F143" i="20" s="1"/>
  <c r="B250" i="2"/>
  <c r="B251" i="2" s="1"/>
  <c r="D252" i="2" s="1"/>
  <c r="E130" i="13"/>
  <c r="F130" i="13" s="1"/>
  <c r="D131" i="13" s="1"/>
  <c r="A131" i="34"/>
  <c r="B131" i="34"/>
  <c r="G129" i="13"/>
  <c r="B130" i="34"/>
  <c r="C19" i="13" l="1"/>
  <c r="C19" i="20"/>
  <c r="D144" i="20"/>
  <c r="A133" i="34"/>
  <c r="E131" i="13"/>
  <c r="F131" i="13" s="1"/>
  <c r="G130" i="13"/>
  <c r="C16" i="20"/>
  <c r="C16" i="13"/>
  <c r="B252" i="2"/>
  <c r="D132" i="13" l="1"/>
  <c r="E132" i="13" s="1"/>
  <c r="F132" i="13" s="1"/>
  <c r="G131" i="13"/>
  <c r="A134" i="34"/>
  <c r="B254" i="2"/>
  <c r="B257" i="2" s="1"/>
  <c r="B258" i="2" s="1"/>
  <c r="B259" i="2" s="1"/>
  <c r="B260" i="2" s="1"/>
  <c r="B261" i="2" s="1"/>
  <c r="E191" i="2"/>
  <c r="D179" i="2"/>
  <c r="E144" i="20"/>
  <c r="F144" i="20" s="1"/>
  <c r="D145" i="20" s="1"/>
  <c r="D133" i="13" l="1"/>
  <c r="G132" i="13"/>
  <c r="B262" i="2"/>
  <c r="B263" i="2" s="1"/>
  <c r="B264" i="2" s="1"/>
  <c r="B265" i="2" s="1"/>
  <c r="B267" i="2" s="1"/>
  <c r="B268" i="2" s="1"/>
  <c r="B269" i="2" s="1"/>
  <c r="B270" i="2" s="1"/>
  <c r="B271" i="2" s="1"/>
  <c r="E145" i="20"/>
  <c r="F145" i="20" s="1"/>
  <c r="A135" i="34"/>
  <c r="A136" i="34" s="1"/>
  <c r="D146" i="20" l="1"/>
  <c r="E146" i="20" s="1"/>
  <c r="F146" i="20" s="1"/>
  <c r="E265" i="2"/>
  <c r="A137" i="34"/>
  <c r="B139" i="34"/>
  <c r="B137" i="34"/>
  <c r="B136" i="34"/>
  <c r="E133" i="13"/>
  <c r="F133" i="13" s="1"/>
  <c r="D134" i="13" s="1"/>
  <c r="D147" i="20" l="1"/>
  <c r="E134" i="13"/>
  <c r="F134" i="13" s="1"/>
  <c r="A139" i="34"/>
  <c r="B140" i="34"/>
  <c r="G133" i="13"/>
  <c r="D135" i="13" l="1"/>
  <c r="G134" i="13"/>
  <c r="A140" i="34"/>
  <c r="B151" i="34"/>
  <c r="B144" i="34"/>
  <c r="B202" i="34"/>
  <c r="E147" i="20"/>
  <c r="F147" i="20" s="1"/>
  <c r="D148" i="20" s="1"/>
  <c r="E148" i="20" l="1"/>
  <c r="F148" i="20" s="1"/>
  <c r="D149" i="20" s="1"/>
  <c r="A143" i="34"/>
  <c r="B167" i="34"/>
  <c r="E135" i="13"/>
  <c r="F135" i="13" s="1"/>
  <c r="D136" i="13" l="1"/>
  <c r="G135" i="13"/>
  <c r="E149" i="20"/>
  <c r="F149" i="20" s="1"/>
  <c r="A144" i="34"/>
  <c r="A145" i="34" s="1"/>
  <c r="B206" i="34"/>
  <c r="D150" i="20" l="1"/>
  <c r="A146" i="34"/>
  <c r="B208" i="34"/>
  <c r="E136" i="13"/>
  <c r="F136" i="13" s="1"/>
  <c r="D137" i="13" s="1"/>
  <c r="G136" i="13" l="1"/>
  <c r="E137" i="13"/>
  <c r="F137" i="13" s="1"/>
  <c r="D138" i="13" s="1"/>
  <c r="A147" i="34"/>
  <c r="B209" i="34"/>
  <c r="E150" i="20"/>
  <c r="F150" i="20" s="1"/>
  <c r="D151" i="20" l="1"/>
  <c r="A150" i="34"/>
  <c r="B152" i="34"/>
  <c r="E138" i="13"/>
  <c r="F138" i="13" s="1"/>
  <c r="G137" i="13"/>
  <c r="D139" i="13" l="1"/>
  <c r="G138" i="13"/>
  <c r="A151" i="34"/>
  <c r="E151" i="20"/>
  <c r="F151" i="20" s="1"/>
  <c r="D152" i="20" s="1"/>
  <c r="A152" i="34" l="1"/>
  <c r="E152" i="20"/>
  <c r="F152" i="20" s="1"/>
  <c r="D153" i="20" s="1"/>
  <c r="E139" i="13"/>
  <c r="F139" i="13" s="1"/>
  <c r="D140" i="13" s="1"/>
  <c r="E153" i="20" l="1"/>
  <c r="F153" i="20" s="1"/>
  <c r="E140" i="13"/>
  <c r="F140" i="13" s="1"/>
  <c r="G139" i="13"/>
  <c r="A153" i="34"/>
  <c r="D141" i="13" l="1"/>
  <c r="G140" i="13"/>
  <c r="D154" i="20"/>
  <c r="A155" i="34"/>
  <c r="B155" i="34"/>
  <c r="B156" i="34"/>
  <c r="B157" i="34"/>
  <c r="A156" i="34" l="1"/>
  <c r="E154" i="20"/>
  <c r="F154" i="20" s="1"/>
  <c r="E141" i="13"/>
  <c r="F141" i="13" s="1"/>
  <c r="D142" i="13" l="1"/>
  <c r="E142" i="13" s="1"/>
  <c r="F142" i="13" s="1"/>
  <c r="G141" i="13"/>
  <c r="D155" i="20"/>
  <c r="A157" i="34"/>
  <c r="D143" i="13" l="1"/>
  <c r="E143" i="13" s="1"/>
  <c r="F143" i="13" s="1"/>
  <c r="G142" i="13"/>
  <c r="A159" i="34"/>
  <c r="A161" i="34" s="1"/>
  <c r="A162" i="34" s="1"/>
  <c r="A163" i="34" s="1"/>
  <c r="A166" i="34" s="1"/>
  <c r="E155" i="20"/>
  <c r="F155" i="20" s="1"/>
  <c r="D156" i="20" s="1"/>
  <c r="D144" i="13" l="1"/>
  <c r="E144" i="13" s="1"/>
  <c r="F144" i="13" s="1"/>
  <c r="G143" i="13"/>
  <c r="A167" i="34"/>
  <c r="B171" i="34"/>
  <c r="E156" i="20"/>
  <c r="F156" i="20" s="1"/>
  <c r="D157" i="20" s="1"/>
  <c r="D145" i="13" l="1"/>
  <c r="G144" i="13"/>
  <c r="E157" i="20"/>
  <c r="F157" i="20" s="1"/>
  <c r="A168" i="34"/>
  <c r="B172" i="34"/>
  <c r="E145" i="13" l="1"/>
  <c r="F145" i="13" s="1"/>
  <c r="D158" i="20"/>
  <c r="E158" i="20" s="1"/>
  <c r="F158" i="20" s="1"/>
  <c r="A171" i="34"/>
  <c r="A172" i="34" s="1"/>
  <c r="A173" i="34" s="1"/>
  <c r="A174" i="34" s="1"/>
  <c r="A183" i="34" s="1"/>
  <c r="A184" i="34" s="1"/>
  <c r="A185" i="34" s="1"/>
  <c r="A186" i="34" s="1"/>
  <c r="A187" i="34" s="1"/>
  <c r="A188" i="34" s="1"/>
  <c r="B173" i="34"/>
  <c r="D146" i="13" l="1"/>
  <c r="E146" i="13" s="1"/>
  <c r="F146" i="13" s="1"/>
  <c r="D147" i="13" s="1"/>
  <c r="G145" i="13"/>
  <c r="D159" i="20"/>
  <c r="A190" i="34"/>
  <c r="B213" i="34"/>
  <c r="G146" i="13" l="1"/>
  <c r="E159" i="20"/>
  <c r="F159" i="20" s="1"/>
  <c r="A193" i="34"/>
  <c r="A194" i="34" s="1"/>
  <c r="A195" i="34" s="1"/>
  <c r="A196" i="34" s="1"/>
  <c r="A197" i="34" s="1"/>
  <c r="A198" i="34" s="1"/>
  <c r="A199" i="34" s="1"/>
  <c r="B187" i="34"/>
  <c r="E147" i="13"/>
  <c r="F147" i="13" s="1"/>
  <c r="D148" i="13" l="1"/>
  <c r="G147" i="13"/>
  <c r="D160" i="20"/>
  <c r="B229" i="34"/>
  <c r="E258" i="2"/>
  <c r="A202" i="34"/>
  <c r="E160" i="20" l="1"/>
  <c r="E161" i="20" s="1"/>
  <c r="B214" i="34"/>
  <c r="A203" i="34"/>
  <c r="B207" i="34"/>
  <c r="E148" i="13"/>
  <c r="F148" i="13" s="1"/>
  <c r="D149" i="13" l="1"/>
  <c r="G148" i="13"/>
  <c r="E259" i="2"/>
  <c r="A206" i="34"/>
  <c r="B230" i="34"/>
  <c r="F160" i="20"/>
  <c r="A207" i="34" l="1"/>
  <c r="E261" i="2"/>
  <c r="E149" i="13"/>
  <c r="F149" i="13" s="1"/>
  <c r="D150" i="13" s="1"/>
  <c r="E150" i="13" l="1"/>
  <c r="F150" i="13" s="1"/>
  <c r="E262" i="2"/>
  <c r="A208" i="34"/>
  <c r="G149" i="13"/>
  <c r="D151" i="13" l="1"/>
  <c r="G150" i="13"/>
  <c r="A209" i="34"/>
  <c r="E263" i="2"/>
  <c r="A210" i="34" l="1"/>
  <c r="E264" i="2"/>
  <c r="E151" i="13"/>
  <c r="F151" i="13" s="1"/>
  <c r="D152" i="13" s="1"/>
  <c r="E152" i="13" l="1"/>
  <c r="F152" i="13" s="1"/>
  <c r="D153" i="13" s="1"/>
  <c r="A213" i="34"/>
  <c r="B215" i="34"/>
  <c r="G151" i="13"/>
  <c r="E153" i="13" l="1"/>
  <c r="F153" i="13" s="1"/>
  <c r="D268" i="2"/>
  <c r="A214" i="34"/>
  <c r="G152" i="13"/>
  <c r="D154" i="13" l="1"/>
  <c r="G153" i="13"/>
  <c r="A215" i="34"/>
  <c r="D269" i="2"/>
  <c r="D270" i="2" l="1"/>
  <c r="A216" i="34"/>
  <c r="B220" i="34" s="1"/>
  <c r="E154" i="13"/>
  <c r="F154" i="13" s="1"/>
  <c r="D155" i="13" s="1"/>
  <c r="A218" i="34" l="1"/>
  <c r="D271" i="2"/>
  <c r="B218" i="34"/>
  <c r="B219" i="34"/>
  <c r="E155" i="13"/>
  <c r="F155" i="13" s="1"/>
  <c r="G154" i="13"/>
  <c r="D156" i="13" l="1"/>
  <c r="E156" i="13" s="1"/>
  <c r="F156" i="13" s="1"/>
  <c r="G155" i="13"/>
  <c r="A219" i="34"/>
  <c r="D157" i="13" l="1"/>
  <c r="G156" i="13"/>
  <c r="A220" i="34"/>
  <c r="A222" i="34" l="1"/>
  <c r="A224" i="34" s="1"/>
  <c r="A225" i="34" s="1"/>
  <c r="A226" i="34" s="1"/>
  <c r="A229" i="34" s="1"/>
  <c r="E157" i="13"/>
  <c r="F157" i="13" s="1"/>
  <c r="D158" i="13" s="1"/>
  <c r="G157" i="13" l="1"/>
  <c r="E158" i="13"/>
  <c r="F158" i="13" s="1"/>
  <c r="A230" i="34"/>
  <c r="B234" i="34"/>
  <c r="D159" i="13" l="1"/>
  <c r="G158" i="13"/>
  <c r="A231" i="34"/>
  <c r="B235" i="34"/>
  <c r="A234" i="34" l="1"/>
  <c r="A235" i="34" s="1"/>
  <c r="A236" i="34" s="1"/>
  <c r="A237" i="34" s="1"/>
  <c r="B236" i="34"/>
  <c r="E159" i="13"/>
  <c r="E160" i="13" s="1"/>
  <c r="F159" i="13" l="1"/>
  <c r="G159" i="13" s="1"/>
  <c r="E67" i="36" l="1"/>
  <c r="C67" i="36"/>
  <c r="G67" i="36" l="1"/>
  <c r="R46" i="37" l="1"/>
  <c r="J35" i="37"/>
  <c r="J46" i="37" s="1"/>
  <c r="D35" i="37"/>
  <c r="E41" i="5" l="1"/>
  <c r="I41" i="5" s="1"/>
  <c r="G35" i="37"/>
  <c r="F36" i="37"/>
  <c r="E43" i="5"/>
  <c r="I43" i="5" s="1"/>
  <c r="E44" i="5" l="1"/>
  <c r="I44" i="5"/>
  <c r="L94" i="2" s="1"/>
  <c r="L96" i="2" s="1"/>
  <c r="G94" i="2"/>
  <c r="G96" i="2" s="1"/>
  <c r="D36" i="37"/>
  <c r="F46" i="37"/>
  <c r="G36" i="37" l="1"/>
  <c r="G46" i="37" s="1"/>
  <c r="D46" i="37"/>
  <c r="L184" i="2" l="1"/>
  <c r="L188" i="2" s="1"/>
  <c r="G188" i="2"/>
  <c r="E39" i="13" l="1"/>
  <c r="F39" i="20"/>
  <c r="G187" i="2" l="1"/>
  <c r="L183" i="2"/>
  <c r="L187" i="2" s="1"/>
  <c r="F38" i="20" l="1"/>
  <c r="E38" i="13"/>
  <c r="L107" i="2" l="1"/>
  <c r="L114" i="2" s="1"/>
  <c r="L118" i="2" s="1"/>
  <c r="G114" i="2"/>
  <c r="G118" i="2" s="1"/>
  <c r="G191" i="2" s="1"/>
  <c r="G185" i="2" s="1"/>
  <c r="G189" i="2" s="1"/>
  <c r="G199" i="2" s="1"/>
  <c r="L191" i="2" l="1"/>
  <c r="E28" i="13"/>
  <c r="E30" i="13" s="1"/>
  <c r="F28" i="20"/>
  <c r="F30" i="20" s="1"/>
  <c r="F34" i="20" l="1"/>
  <c r="F36" i="20" s="1"/>
  <c r="F40" i="20" s="1"/>
  <c r="G56" i="20"/>
  <c r="F56" i="13"/>
  <c r="E34" i="13"/>
  <c r="E36" i="13" s="1"/>
  <c r="E40" i="13" s="1"/>
  <c r="F57" i="13" s="1"/>
  <c r="G49" i="20"/>
  <c r="F49" i="13"/>
  <c r="L185" i="2"/>
  <c r="L189" i="2" s="1"/>
  <c r="F50" i="13" s="1"/>
  <c r="L199" i="2" l="1"/>
  <c r="L13" i="2" s="1"/>
  <c r="L18" i="2" s="1"/>
  <c r="G57" i="20"/>
  <c r="G50" i="20"/>
  <c r="L31" i="2" l="1"/>
  <c r="G70" i="20" s="1"/>
  <c r="I96" i="20" s="1"/>
  <c r="L27" i="2"/>
  <c r="L28" i="2" s="1"/>
  <c r="F47" i="13"/>
  <c r="F51" i="13" s="1"/>
  <c r="F55" i="13" s="1"/>
  <c r="F58" i="13" s="1"/>
  <c r="F65" i="13" s="1"/>
  <c r="F66" i="13" s="1"/>
  <c r="G47" i="20"/>
  <c r="G51" i="20" s="1"/>
  <c r="G55" i="20" s="1"/>
  <c r="G58" i="20" s="1"/>
  <c r="L34" i="2"/>
  <c r="F70" i="13" l="1"/>
  <c r="J95" i="13" s="1"/>
  <c r="H131" i="13" s="1"/>
  <c r="F60" i="13"/>
  <c r="F68" i="13" s="1"/>
  <c r="F69" i="13" s="1"/>
  <c r="H115" i="13"/>
  <c r="H113" i="13"/>
  <c r="H105" i="13"/>
  <c r="M105" i="13" s="1"/>
  <c r="H106" i="13"/>
  <c r="M106" i="13" s="1"/>
  <c r="H120" i="13"/>
  <c r="H139" i="13"/>
  <c r="H100" i="13"/>
  <c r="H137" i="13"/>
  <c r="H159" i="13"/>
  <c r="H121" i="13"/>
  <c r="H141" i="13"/>
  <c r="H156" i="13"/>
  <c r="H111" i="13"/>
  <c r="H102" i="13"/>
  <c r="M102" i="13" s="1"/>
  <c r="H138" i="13"/>
  <c r="H114" i="13"/>
  <c r="J96" i="13"/>
  <c r="H117" i="13"/>
  <c r="H119" i="13"/>
  <c r="H147" i="13"/>
  <c r="H158" i="13"/>
  <c r="H126" i="13"/>
  <c r="H104" i="13"/>
  <c r="M104" i="13" s="1"/>
  <c r="H127" i="13"/>
  <c r="H149" i="13"/>
  <c r="H125" i="13"/>
  <c r="H101" i="13"/>
  <c r="M101" i="13" s="1"/>
  <c r="H148" i="13"/>
  <c r="H140" i="13"/>
  <c r="H110" i="13"/>
  <c r="H142" i="13"/>
  <c r="H103" i="13"/>
  <c r="M103" i="13" s="1"/>
  <c r="H134" i="13"/>
  <c r="H136" i="13"/>
  <c r="H118" i="13"/>
  <c r="H107" i="13"/>
  <c r="M107" i="13" s="1"/>
  <c r="H146" i="13"/>
  <c r="G104" i="20"/>
  <c r="G116" i="20"/>
  <c r="G123" i="20"/>
  <c r="G137" i="20"/>
  <c r="G154" i="20"/>
  <c r="G105" i="20"/>
  <c r="G117" i="20"/>
  <c r="G127" i="20"/>
  <c r="G125" i="20"/>
  <c r="G160" i="20"/>
  <c r="G106" i="20"/>
  <c r="G102" i="20"/>
  <c r="G139" i="20"/>
  <c r="G142" i="20"/>
  <c r="G107" i="20"/>
  <c r="G115" i="20"/>
  <c r="G145" i="20"/>
  <c r="G134" i="20"/>
  <c r="G150" i="20"/>
  <c r="G153" i="20"/>
  <c r="G103" i="20"/>
  <c r="G157" i="20"/>
  <c r="G108" i="20"/>
  <c r="G148" i="20"/>
  <c r="G119" i="20"/>
  <c r="G129" i="20"/>
  <c r="G109" i="20"/>
  <c r="G113" i="20"/>
  <c r="G136" i="20"/>
  <c r="G133" i="20"/>
  <c r="G114" i="20"/>
  <c r="G110" i="20"/>
  <c r="G138" i="20"/>
  <c r="G146" i="20"/>
  <c r="G124" i="20"/>
  <c r="G121" i="20"/>
  <c r="G144" i="20"/>
  <c r="G140" i="20"/>
  <c r="G128" i="20"/>
  <c r="G101" i="20"/>
  <c r="G118" i="20"/>
  <c r="G155" i="20"/>
  <c r="G131" i="20"/>
  <c r="G151" i="20"/>
  <c r="G158" i="20"/>
  <c r="G156" i="20"/>
  <c r="G126" i="20"/>
  <c r="G149" i="20"/>
  <c r="G111" i="20"/>
  <c r="G159" i="20"/>
  <c r="G120" i="20"/>
  <c r="G152" i="20"/>
  <c r="G132" i="20"/>
  <c r="I97" i="20"/>
  <c r="G141" i="20"/>
  <c r="G130" i="20"/>
  <c r="G135" i="20"/>
  <c r="G122" i="20"/>
  <c r="G147" i="20"/>
  <c r="G112" i="20"/>
  <c r="G143" i="20"/>
  <c r="G65" i="20"/>
  <c r="G66" i="20" s="1"/>
  <c r="G60" i="20"/>
  <c r="G68" i="20" s="1"/>
  <c r="G69" i="20" s="1"/>
  <c r="G71" i="20" s="1"/>
  <c r="H155" i="13" l="1"/>
  <c r="H132" i="13"/>
  <c r="H153" i="13"/>
  <c r="H152" i="13"/>
  <c r="H154" i="13"/>
  <c r="H112" i="13"/>
  <c r="H133" i="13"/>
  <c r="H151" i="13"/>
  <c r="H145" i="13"/>
  <c r="H109" i="13"/>
  <c r="H128" i="13"/>
  <c r="H130" i="13"/>
  <c r="H150" i="13"/>
  <c r="H129" i="13"/>
  <c r="H116" i="13"/>
  <c r="H144" i="13"/>
  <c r="H135" i="13"/>
  <c r="H123" i="13"/>
  <c r="H157" i="13"/>
  <c r="H108" i="13"/>
  <c r="M108" i="13" s="1"/>
  <c r="H143" i="13"/>
  <c r="H122" i="13"/>
  <c r="H124" i="13"/>
  <c r="F71" i="13"/>
  <c r="M89" i="13"/>
  <c r="M109" i="13"/>
  <c r="H111" i="20"/>
  <c r="I111" i="20" s="1"/>
  <c r="H153" i="20"/>
  <c r="I153" i="20" s="1"/>
  <c r="H144" i="20"/>
  <c r="I144" i="20" s="1"/>
  <c r="H124" i="20"/>
  <c r="I124" i="20" s="1"/>
  <c r="H118" i="20"/>
  <c r="I118" i="20" s="1"/>
  <c r="H130" i="20"/>
  <c r="I130" i="20" s="1"/>
  <c r="H127" i="20"/>
  <c r="I127" i="20" s="1"/>
  <c r="H158" i="20"/>
  <c r="I158" i="20" s="1"/>
  <c r="H152" i="20"/>
  <c r="I152" i="20" s="1"/>
  <c r="H132" i="20"/>
  <c r="I132" i="20" s="1"/>
  <c r="H157" i="20"/>
  <c r="I157" i="20" s="1"/>
  <c r="H140" i="20"/>
  <c r="I140" i="20" s="1"/>
  <c r="H110" i="20"/>
  <c r="I110" i="20" s="1"/>
  <c r="H145" i="20"/>
  <c r="I145" i="20" s="1"/>
  <c r="H141" i="20"/>
  <c r="I141" i="20" s="1"/>
  <c r="H147" i="20"/>
  <c r="I147" i="20" s="1"/>
  <c r="H138" i="20"/>
  <c r="I138" i="20" s="1"/>
  <c r="H107" i="20"/>
  <c r="I107" i="20" s="1"/>
  <c r="H123" i="20"/>
  <c r="I123" i="20" s="1"/>
  <c r="H137" i="20"/>
  <c r="I137" i="20" s="1"/>
  <c r="H114" i="20"/>
  <c r="I114" i="20" s="1"/>
  <c r="H134" i="20"/>
  <c r="I134" i="20" s="1"/>
  <c r="H149" i="20"/>
  <c r="I149" i="20" s="1"/>
  <c r="H155" i="20"/>
  <c r="I155" i="20" s="1"/>
  <c r="H143" i="20"/>
  <c r="I143" i="20" s="1"/>
  <c r="H125" i="20"/>
  <c r="I125" i="20" s="1"/>
  <c r="H154" i="20"/>
  <c r="I154" i="20" s="1"/>
  <c r="H117" i="20"/>
  <c r="I117" i="20" s="1"/>
  <c r="H103" i="20"/>
  <c r="I103" i="20" s="1"/>
  <c r="H156" i="20"/>
  <c r="I156" i="20" s="1"/>
  <c r="H121" i="20"/>
  <c r="I121" i="20" s="1"/>
  <c r="H150" i="20"/>
  <c r="I150" i="20" s="1"/>
  <c r="H131" i="20"/>
  <c r="I131" i="20" s="1"/>
  <c r="H120" i="20"/>
  <c r="I120" i="20" s="1"/>
  <c r="H148" i="20"/>
  <c r="I148" i="20" s="1"/>
  <c r="H146" i="20"/>
  <c r="I146" i="20" s="1"/>
  <c r="H160" i="20"/>
  <c r="I160" i="20" s="1"/>
  <c r="H101" i="20"/>
  <c r="H102" i="20"/>
  <c r="I102" i="20" s="1"/>
  <c r="H142" i="20"/>
  <c r="I142" i="20" s="1"/>
  <c r="H129" i="20"/>
  <c r="I129" i="20" s="1"/>
  <c r="H119" i="20"/>
  <c r="I119" i="20" s="1"/>
  <c r="H115" i="20"/>
  <c r="I115" i="20" s="1"/>
  <c r="H151" i="20"/>
  <c r="I151" i="20" s="1"/>
  <c r="H128" i="20"/>
  <c r="I128" i="20" s="1"/>
  <c r="H112" i="20"/>
  <c r="I112" i="20" s="1"/>
  <c r="H136" i="20"/>
  <c r="I136" i="20" s="1"/>
  <c r="H139" i="20"/>
  <c r="I139" i="20" s="1"/>
  <c r="H109" i="20"/>
  <c r="I109" i="20" s="1"/>
  <c r="H122" i="20"/>
  <c r="I122" i="20" s="1"/>
  <c r="H159" i="20"/>
  <c r="I159" i="20" s="1"/>
  <c r="H116" i="20"/>
  <c r="I116" i="20" s="1"/>
  <c r="H104" i="20"/>
  <c r="I104" i="20" s="1"/>
  <c r="H113" i="20"/>
  <c r="I113" i="20" s="1"/>
  <c r="H133" i="20"/>
  <c r="I133" i="20" s="1"/>
  <c r="H106" i="20"/>
  <c r="I106" i="20" s="1"/>
  <c r="H126" i="20"/>
  <c r="I126" i="20" s="1"/>
  <c r="H108" i="20"/>
  <c r="I108" i="20" s="1"/>
  <c r="H105" i="20"/>
  <c r="I105" i="20" s="1"/>
  <c r="H135" i="20"/>
  <c r="I135" i="20" s="1"/>
  <c r="G161" i="20"/>
  <c r="I118" i="13"/>
  <c r="J118" i="13" s="1"/>
  <c r="I151" i="13"/>
  <c r="I138" i="13"/>
  <c r="J138" i="13" s="1"/>
  <c r="I155" i="13"/>
  <c r="J155" i="13" s="1"/>
  <c r="I153" i="13"/>
  <c r="J153" i="13" s="1"/>
  <c r="I106" i="13"/>
  <c r="I124" i="13"/>
  <c r="I139" i="13"/>
  <c r="J139" i="13" s="1"/>
  <c r="I130" i="13"/>
  <c r="J130" i="13" s="1"/>
  <c r="I117" i="13"/>
  <c r="J117" i="13" s="1"/>
  <c r="I143" i="13"/>
  <c r="J143" i="13" s="1"/>
  <c r="I145" i="13"/>
  <c r="I114" i="13"/>
  <c r="J114" i="13" s="1"/>
  <c r="I110" i="13"/>
  <c r="J110" i="13" s="1"/>
  <c r="I104" i="13"/>
  <c r="I136" i="13"/>
  <c r="J136" i="13" s="1"/>
  <c r="I134" i="13"/>
  <c r="J134" i="13" s="1"/>
  <c r="I132" i="13"/>
  <c r="J132" i="13" s="1"/>
  <c r="I154" i="13"/>
  <c r="J154" i="13" s="1"/>
  <c r="I128" i="13"/>
  <c r="J128" i="13" s="1"/>
  <c r="I142" i="13"/>
  <c r="J142" i="13" s="1"/>
  <c r="I102" i="13"/>
  <c r="I101" i="13"/>
  <c r="I133" i="13"/>
  <c r="J133" i="13" s="1"/>
  <c r="I137" i="13"/>
  <c r="J137" i="13" s="1"/>
  <c r="I108" i="13"/>
  <c r="I148" i="13"/>
  <c r="J148" i="13" s="1"/>
  <c r="I113" i="13"/>
  <c r="J113" i="13" s="1"/>
  <c r="I146" i="13"/>
  <c r="J146" i="13" s="1"/>
  <c r="I131" i="13"/>
  <c r="J131" i="13" s="1"/>
  <c r="I122" i="13"/>
  <c r="I157" i="13"/>
  <c r="J157" i="13" s="1"/>
  <c r="I156" i="13"/>
  <c r="J156" i="13" s="1"/>
  <c r="I141" i="13"/>
  <c r="J141" i="13" s="1"/>
  <c r="I120" i="13"/>
  <c r="J120" i="13" s="1"/>
  <c r="I147" i="13"/>
  <c r="J147" i="13" s="1"/>
  <c r="I100" i="13"/>
  <c r="I116" i="13"/>
  <c r="J116" i="13" s="1"/>
  <c r="I135" i="13"/>
  <c r="J135" i="13" s="1"/>
  <c r="I119" i="13"/>
  <c r="J119" i="13" s="1"/>
  <c r="I140" i="13"/>
  <c r="J140" i="13" s="1"/>
  <c r="I158" i="13"/>
  <c r="J158" i="13" s="1"/>
  <c r="I149" i="13"/>
  <c r="J149" i="13" s="1"/>
  <c r="I144" i="13"/>
  <c r="J144" i="13" s="1"/>
  <c r="I115" i="13"/>
  <c r="J115" i="13" s="1"/>
  <c r="I103" i="13"/>
  <c r="I109" i="13"/>
  <c r="I129" i="13"/>
  <c r="I152" i="13"/>
  <c r="J152" i="13" s="1"/>
  <c r="I127" i="13"/>
  <c r="J127" i="13" s="1"/>
  <c r="I150" i="13"/>
  <c r="J150" i="13" s="1"/>
  <c r="I111" i="13"/>
  <c r="J111" i="13" s="1"/>
  <c r="I121" i="13"/>
  <c r="J121" i="13" s="1"/>
  <c r="I159" i="13"/>
  <c r="J159" i="13" s="1"/>
  <c r="I123" i="13"/>
  <c r="I105" i="13"/>
  <c r="I126" i="13"/>
  <c r="J126" i="13" s="1"/>
  <c r="I125" i="13"/>
  <c r="J125" i="13" s="1"/>
  <c r="I112" i="13"/>
  <c r="J112" i="13" s="1"/>
  <c r="I107" i="13"/>
  <c r="M100" i="13"/>
  <c r="J124" i="13" l="1"/>
  <c r="J129" i="13"/>
  <c r="H160" i="13"/>
  <c r="J122" i="13"/>
  <c r="J151" i="13"/>
  <c r="J123" i="13"/>
  <c r="J145" i="13"/>
  <c r="O106" i="13"/>
  <c r="P106" i="13" s="1"/>
  <c r="J106" i="13"/>
  <c r="J107" i="13"/>
  <c r="O107" i="13"/>
  <c r="P107" i="13" s="1"/>
  <c r="J103" i="13"/>
  <c r="O103" i="13"/>
  <c r="P103" i="13" s="1"/>
  <c r="O109" i="13"/>
  <c r="P109" i="13" s="1"/>
  <c r="J109" i="13"/>
  <c r="N89" i="13"/>
  <c r="O104" i="13"/>
  <c r="P104" i="13" s="1"/>
  <c r="J104" i="13"/>
  <c r="O105" i="13"/>
  <c r="P105" i="13" s="1"/>
  <c r="J105" i="13"/>
  <c r="O108" i="13"/>
  <c r="P108" i="13" s="1"/>
  <c r="J108" i="13"/>
  <c r="H161" i="20"/>
  <c r="I101" i="20"/>
  <c r="I161" i="20" s="1"/>
  <c r="O100" i="13"/>
  <c r="P100" i="13" s="1"/>
  <c r="I160" i="13"/>
  <c r="J100" i="13"/>
  <c r="O101" i="13"/>
  <c r="P101" i="13" s="1"/>
  <c r="J101" i="13"/>
  <c r="J102" i="13"/>
  <c r="O102" i="13"/>
  <c r="P102" i="13" s="1"/>
  <c r="M90" i="13"/>
  <c r="N22" i="13"/>
  <c r="N23" i="13" l="1"/>
  <c r="G24" i="2"/>
  <c r="L24" i="2" s="1"/>
  <c r="J160" i="13"/>
  <c r="O89" i="13"/>
  <c r="O90" i="13" s="1"/>
  <c r="N90" i="13"/>
  <c r="O22" i="13"/>
  <c r="P22" i="13" l="1"/>
  <c r="P23" i="13" s="1"/>
  <c r="O23" i="13"/>
</calcChain>
</file>

<file path=xl/sharedStrings.xml><?xml version="1.0" encoding="utf-8"?>
<sst xmlns="http://schemas.openxmlformats.org/spreadsheetml/2006/main" count="1918" uniqueCount="1074">
  <si>
    <t>Other Adjustments</t>
  </si>
  <si>
    <t xml:space="preserve">           Acct. 928 - Transmission Specific</t>
  </si>
  <si>
    <t>FERC FORM 1</t>
  </si>
  <si>
    <t>Tie-Back</t>
  </si>
  <si>
    <t>FERC FORM 1 Reference</t>
  </si>
  <si>
    <t xml:space="preserve">NOTE 1: The detail of each total company number and its source in the FERC Form 1 is shown on WS H-1. </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</si>
  <si>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</si>
  <si>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</si>
  <si>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</si>
  <si>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</si>
  <si>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</si>
  <si>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</si>
  <si>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r>
      <t>Accounts  4470004 &amp; 5, Revenues from Grandfathered Transmission Contracts</t>
    </r>
    <r>
      <rPr>
        <b/>
        <sz val="10"/>
        <rFont val="Arial"/>
        <family val="2"/>
      </rPr>
      <t xml:space="preserve"> - (Company Records - Note 1)</t>
    </r>
  </si>
  <si>
    <t xml:space="preserve">**  This is the total amount that needs to be reported to PJM for billing to all regions. </t>
  </si>
  <si>
    <r>
      <t xml:space="preserve">## </t>
    </r>
    <r>
      <rPr>
        <b/>
        <sz val="10"/>
        <rFont val="Arial"/>
        <family val="2"/>
      </rPr>
      <t>This is the calculation of  additional incentive revenue on projects deemed by the FERC to be eligible for an incentive return.  This</t>
    </r>
  </si>
  <si>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</si>
  <si>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</si>
  <si>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Senior Unsecured Notes (112.21.c&amp;d) Excludes Spent Nuc Fuel Disp Fund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</si>
  <si>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</si>
  <si>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</si>
  <si>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</si>
  <si>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</si>
  <si>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</si>
  <si>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LT Advances from Assoc. Companies  (112.20.c&amp;d)</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</si>
  <si>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</si>
  <si>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</si>
  <si>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</si>
  <si>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</si>
  <si>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</si>
  <si>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</si>
  <si>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The total-company balances shown for Accounts 281, 282, 283, 190 only reflect ADIT that relates to utility operations. The balance of Account 255 is reduced by prior flow</t>
  </si>
  <si>
    <t>N</t>
  </si>
  <si>
    <t xml:space="preserve">  Customer Related Expense</t>
  </si>
  <si>
    <t>PLANT</t>
  </si>
  <si>
    <t>ACCT.</t>
  </si>
  <si>
    <t>RATES</t>
  </si>
  <si>
    <t xml:space="preserve"> TRANSMISSION PLANT</t>
  </si>
  <si>
    <t xml:space="preserve">  Structures &amp; Improvements</t>
  </si>
  <si>
    <t xml:space="preserve">  Station Equipment</t>
  </si>
  <si>
    <t xml:space="preserve">  Towers &amp; Fixtures</t>
  </si>
  <si>
    <t xml:space="preserve">  Poles &amp; Fixtures</t>
  </si>
  <si>
    <t xml:space="preserve">  Overhead Conductor</t>
  </si>
  <si>
    <t xml:space="preserve">  Underground Conduit</t>
  </si>
  <si>
    <t xml:space="preserve">  Underground Conductors</t>
  </si>
  <si>
    <t>Composite Depreciation (Ln 3 / Ln 4)</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</si>
  <si>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</si>
  <si>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</si>
  <si>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</si>
  <si>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</si>
  <si>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</si>
  <si>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</si>
  <si>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</si>
  <si>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</si>
  <si>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</si>
  <si>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 xml:space="preserve">  Land Rights</t>
  </si>
  <si>
    <t>Incentive Amounts</t>
  </si>
  <si>
    <t>Long Term Debt</t>
  </si>
  <si>
    <t>Preferred Stock</t>
  </si>
  <si>
    <t>R =</t>
  </si>
  <si>
    <t>PROJECTED YEAR</t>
  </si>
  <si>
    <t xml:space="preserve">   R   (fom A. above)</t>
  </si>
  <si>
    <t xml:space="preserve">   Return (Rate Base  x  R)</t>
  </si>
  <si>
    <t xml:space="preserve">   Return   (from B. above)</t>
  </si>
  <si>
    <t xml:space="preserve">   Income Tax Calculation  (Return  x  CIT)</t>
  </si>
  <si>
    <t xml:space="preserve">   Income Taxes</t>
  </si>
  <si>
    <r>
      <t>NOTE:  The balance of fair value hedges on outstanding long term debt are to be excluded from the balance of long term debt included in the formula's capital structure. (</t>
    </r>
    <r>
      <rPr>
        <sz val="10"/>
        <color indexed="17"/>
        <rFont val="Arial"/>
        <family val="2"/>
      </rPr>
      <t>p. 257,</t>
    </r>
    <r>
      <rPr>
        <sz val="10"/>
        <rFont val="Arial"/>
        <family val="2"/>
      </rPr>
      <t xml:space="preserve"> Column H of the FF1)</t>
    </r>
  </si>
  <si>
    <r>
      <t>NOTE:  The balance of fair value hedges on outstanding long term debt are to be excluded from the balance of long term debt included in the formula's capital structure. (</t>
    </r>
    <r>
      <rPr>
        <sz val="10"/>
        <color indexed="17"/>
        <rFont val="Arial"/>
        <family val="2"/>
      </rPr>
      <t xml:space="preserve">p. 257, </t>
    </r>
    <r>
      <rPr>
        <sz val="10"/>
        <rFont val="Arial"/>
        <family val="2"/>
      </rPr>
      <t>Column H of the FF1)</t>
    </r>
  </si>
  <si>
    <t>Total Long Term Debt Balance</t>
  </si>
  <si>
    <t>LTD Interest Expense</t>
  </si>
  <si>
    <t>ACTUAL WEIGHTED AVG COST OF CAPITAL</t>
  </si>
  <si>
    <t xml:space="preserve">   Income Taxes  (from I.C. above)</t>
  </si>
  <si>
    <t>Calculation of Composite Depreciation Rate</t>
  </si>
  <si>
    <t>Composite Depreciation Rate</t>
  </si>
  <si>
    <t>Depreciable Life for Composite Depreciation Rate</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</si>
  <si>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</si>
  <si>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</si>
  <si>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</si>
  <si>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</si>
  <si>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</si>
  <si>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</si>
  <si>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</si>
  <si>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</si>
  <si>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</si>
  <si>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</si>
  <si>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</si>
  <si>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</si>
  <si>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</si>
  <si>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</si>
  <si>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</si>
  <si>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</si>
  <si>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</si>
  <si>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</si>
  <si>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</si>
  <si>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</si>
  <si>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</si>
  <si>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</si>
  <si>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</si>
  <si>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</si>
  <si>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</si>
  <si>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</si>
  <si>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</si>
  <si>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</si>
  <si>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</si>
  <si>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</si>
  <si>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</si>
  <si>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</si>
  <si>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</si>
  <si>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</si>
  <si>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The company will not include the ADIT portion of deferred hedge gains and losses in rate base.</t>
  </si>
  <si>
    <t xml:space="preserve">  Prepayments (Account 165) - Transmission Only</t>
  </si>
  <si>
    <t>Account</t>
  </si>
  <si>
    <t>Gross Receipts Tax</t>
  </si>
  <si>
    <t>Federal Excise Tax</t>
  </si>
  <si>
    <t xml:space="preserve">________ Tax Rate </t>
  </si>
  <si>
    <t>Property</t>
  </si>
  <si>
    <t>Non-Allocable</t>
  </si>
  <si>
    <t xml:space="preserve"> Total Taxes by Allocable Basis</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</si>
  <si>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</si>
  <si>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</si>
  <si>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</si>
  <si>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</si>
  <si>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</si>
  <si>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</si>
  <si>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</si>
  <si>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</si>
  <si>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</si>
  <si>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</si>
  <si>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</si>
  <si>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</si>
  <si>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</si>
  <si>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</si>
  <si>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</si>
  <si>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</si>
  <si>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</si>
  <si>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</si>
  <si>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</si>
  <si>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</si>
  <si>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</si>
  <si>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</si>
  <si>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</si>
  <si>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</si>
  <si>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</si>
  <si>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</si>
  <si>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</si>
  <si>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</si>
  <si>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</si>
  <si>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</si>
  <si>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</si>
  <si>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</si>
  <si>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</si>
  <si>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</si>
  <si>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</si>
  <si>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</si>
  <si>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</si>
  <si>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</si>
  <si>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</si>
  <si>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</si>
  <si>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Actual (Uncapped) Capital Structure</t>
  </si>
  <si>
    <t>Expenses reported for these A&amp;G accounts will be included in the cost of service only to the extent they are directly assignable to transmission service. Worksheet F allocates</t>
  </si>
  <si>
    <t>RTEP Rev. Req't.</t>
  </si>
  <si>
    <t xml:space="preserve">          TEMPLATE BELOW TO MAINTAIN HISTORY OF PROJECTED ARRS OVER THE </t>
  </si>
  <si>
    <t>RTEP Projected Rev. Req't.From Prior Year WS J</t>
  </si>
  <si>
    <t>been removed from ratebase. Transmission ADIT allocations are shown on WS B.</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</si>
  <si>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</si>
  <si>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</si>
  <si>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</si>
  <si>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</si>
  <si>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</si>
  <si>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</si>
  <si>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</si>
  <si>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</si>
  <si>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</si>
  <si>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</si>
  <si>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</si>
  <si>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</si>
  <si>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</si>
  <si>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</si>
  <si>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</si>
  <si>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General Plant ARO (Enter Negative) </t>
  </si>
  <si>
    <t xml:space="preserve">  Less: Transmission ARO (Enter Negative) </t>
  </si>
  <si>
    <t>FF1, page 219, ln 25, Col. (b)</t>
  </si>
  <si>
    <t>(Total Company Amount Ties to FFI p.114, Ln 14,(c))</t>
  </si>
  <si>
    <t>561.1 - Load Dispatch - Reliability</t>
  </si>
  <si>
    <t>561.2 - Load Dispatch - Monitor &amp; Operate Trans System</t>
  </si>
  <si>
    <t>561.3 - Load Dispatch - Trans Service &amp; Scheduling</t>
  </si>
  <si>
    <t>FF1 p 321.85.b</t>
  </si>
  <si>
    <t>FF1 p 321.86.b</t>
  </si>
  <si>
    <t>FF1 p 321.87.b</t>
  </si>
  <si>
    <t>FF1 p 321.88.b</t>
  </si>
  <si>
    <t>FF1 p 321.89.b</t>
  </si>
  <si>
    <t>FF1 p 321.90.b</t>
  </si>
  <si>
    <t>FF1 p 321.91.b</t>
  </si>
  <si>
    <t>561.4 - Scheduling, System Control &amp; Dispatch</t>
  </si>
  <si>
    <t>FF1 p 321.92.b</t>
  </si>
  <si>
    <t>Total of Account 561</t>
  </si>
  <si>
    <t>561.5 -  Reliability, Planning and Standards Development</t>
  </si>
  <si>
    <t>561.6 - Transmission Service Studies</t>
  </si>
  <si>
    <t>561.7 - Generation Interconnection Studies</t>
  </si>
  <si>
    <t>561.8 -  Reliability, Planning and Standards Development Services</t>
  </si>
  <si>
    <t>Detail of Account 561 Per FERC Form 1</t>
  </si>
  <si>
    <t>Apportionment Factors are determined as part of the Company's annual tax return for that jurisdiction.</t>
  </si>
  <si>
    <t>T</t>
  </si>
  <si>
    <t>Total O&amp;M Allocable to Transmission</t>
  </si>
  <si>
    <t>Transmission Cost of Service Formula Rate</t>
  </si>
  <si>
    <t xml:space="preserve"> O &amp; M EXPENSE SUBTOTAL</t>
  </si>
  <si>
    <t>321.112.b</t>
  </si>
  <si>
    <t>322.131.b</t>
  </si>
  <si>
    <t>323.185.b</t>
  </si>
  <si>
    <t>336.7.f</t>
  </si>
  <si>
    <t>336.10.f</t>
  </si>
  <si>
    <t>336.1.f</t>
  </si>
  <si>
    <t>(Note N)</t>
  </si>
  <si>
    <t xml:space="preserve"> (Note O)</t>
  </si>
  <si>
    <t xml:space="preserve">       and FIT, SIT &amp; p are as given in Note O.</t>
  </si>
  <si>
    <t>354.24,25,26.b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</si>
  <si>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</si>
  <si>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</si>
  <si>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</si>
  <si>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</si>
  <si>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</si>
  <si>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</si>
  <si>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State Business &amp; Occupation Tax</t>
  </si>
  <si>
    <t>State Severance Taxes</t>
  </si>
  <si>
    <t>AEP OPERATING COMPANIES' COMPOSITE (Note S)</t>
  </si>
  <si>
    <t xml:space="preserve">Worksheet  - P </t>
  </si>
  <si>
    <t>DEPRECIATION RATES</t>
  </si>
  <si>
    <t>FOR TRANSMISSION PLANT PROPERTY ACCOUNTS</t>
  </si>
  <si>
    <t>Amortization Period</t>
  </si>
  <si>
    <t>HEDGE AMOUNTS BY ISSUANCE (FROM p. 256-257 (i) of the FERC Form 1)</t>
  </si>
  <si>
    <t>Remaining Unamortized Balance</t>
  </si>
  <si>
    <t>Average (Ln 1+ Ln 2)/2</t>
  </si>
  <si>
    <t>FF1, page 207 Col.(g) &amp; pg. 206 Col. (b), ln 58</t>
  </si>
  <si>
    <t>FF1, page 207 Col.(g) &amp; pg. 206 Col. (b), ln 57</t>
  </si>
  <si>
    <t>FF1, page 207 Col.(g) &amp; pg. 206 Col. (b), ln 99</t>
  </si>
  <si>
    <t>FF1, page 207 Col.(g) &amp; pg. 206 Col. (b), ln 98</t>
  </si>
  <si>
    <t>FF1, page 205 Col.(g) &amp; pg. 204 Col. (b), ln 5</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</si>
  <si>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</si>
  <si>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</si>
  <si>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</si>
  <si>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</si>
  <si>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</si>
  <si>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</si>
  <si>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</si>
  <si>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</si>
  <si>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</si>
  <si>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</si>
  <si>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</si>
  <si>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</si>
  <si>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Relative Valuation Factor</t>
  </si>
  <si>
    <t>Taxable Property Basis</t>
  </si>
  <si>
    <t>Functional Property Tax Allocation</t>
  </si>
  <si>
    <t>Real and Personal Property - Other Jurisdictions</t>
  </si>
  <si>
    <t>REVENUE REQUIREMENT For All Company Facilities</t>
  </si>
  <si>
    <t>Net (Gain)/Loss Hedge Amortization To Be Removed</t>
  </si>
  <si>
    <t xml:space="preserve"> Worksheet H page 2 Form 1 Source Reference of Company Amounts on WS H</t>
  </si>
  <si>
    <t xml:space="preserve"> Worksheet H page 1 Supporting Taxes Other than Income</t>
  </si>
  <si>
    <t>Worksheet Q Page 1</t>
  </si>
  <si>
    <t>Worksheet Q Page 2</t>
  </si>
  <si>
    <t>Worksheet Q Page 3</t>
  </si>
  <si>
    <t>Interest Expense (Company Records - Note 1)</t>
  </si>
  <si>
    <t xml:space="preserve">ITC Balances Includeable in Ratebase </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</si>
  <si>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</si>
  <si>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</si>
  <si>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</si>
  <si>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</si>
  <si>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</si>
  <si>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 xml:space="preserve">NOTE 2 </t>
  </si>
  <si>
    <t xml:space="preserve">ADIT balances should exclude balances related to hedging activity. </t>
  </si>
  <si>
    <t>Annual Tax Expenses by Type (Note 1)</t>
  </si>
  <si>
    <t>FF1, p. 266-267, ln 8, Col. (h)</t>
  </si>
  <si>
    <t xml:space="preserve"> Worksheet B Supporting ADIT and ITC Balances</t>
  </si>
  <si>
    <t>additional incentive requirement is applicable for the life of this specific project.  Each year the revenue requirement calculated for PJM</t>
  </si>
  <si>
    <t>Capital Structure Percentages</t>
  </si>
  <si>
    <t>FERC</t>
  </si>
  <si>
    <t>Revenue credits include:</t>
  </si>
  <si>
    <t>3) Rental revenues earned on assets included in the rate base.</t>
  </si>
  <si>
    <t>4) Revenues for associated business projects provided by employees whose labor and overhead costs are in the transmission cost of service.</t>
  </si>
  <si>
    <t xml:space="preserve">these expense items. Acct 928 Includes Regulatory Commission expenses itemized in FERC Form-1 at page 351, column H.  FERC Assessment Fees and Annual Charges </t>
  </si>
  <si>
    <t xml:space="preserve">shall not be allocated to transmission.  Only safety-related and educational advertising costs in Account 930.1 are included in the TCOS. Account 930.2 includes the </t>
  </si>
  <si>
    <t>expenses incurred by the transmission function for Associated Business Development revenues given as a credit to the TCOS on Worksheet E.</t>
  </si>
  <si>
    <t xml:space="preserve">     Plus: Transmission Lease Payments To Affiliates in Acct 565 (Company Records) (Note H)</t>
  </si>
  <si>
    <t>See Worksheet E for details.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</si>
  <si>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</si>
  <si>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</si>
  <si>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</si>
  <si>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</si>
  <si>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 xml:space="preserve"> Worksheet F Supporting Allocation of Specific O&amp;M or  A&amp;G Expenses</t>
  </si>
  <si>
    <t>throughs and is completely excluded if the utility chose to utilize amortization of tax credits against FIT expense. An exception to this is pre-1971 ITC balances, which are</t>
  </si>
  <si>
    <t>T =  Transmission</t>
  </si>
  <si>
    <t>G = General</t>
  </si>
  <si>
    <t>(Gain) / Loss</t>
  </si>
  <si>
    <t>Worksheet C Supporting Working Capital Rate Base Adjustments</t>
  </si>
  <si>
    <t>Regulatory O&amp;M Deferrals &amp; Amortizations</t>
  </si>
  <si>
    <t>required to be taken as an offset to rate base. Account 281 is not allocated.  In compliance with FERC Rulemaking RM02-7-000, Asset Retirement Obligation deferrals have</t>
  </si>
  <si>
    <t>(Note E)</t>
  </si>
  <si>
    <t>Note 1</t>
  </si>
  <si>
    <t>(I)</t>
  </si>
  <si>
    <t xml:space="preserve">Average of </t>
  </si>
  <si>
    <t>Balances</t>
  </si>
  <si>
    <t xml:space="preserve">Subtotal - Form 1, p 111.57.c  </t>
  </si>
  <si>
    <t>(FF1 p.114, ln 19.c)</t>
  </si>
  <si>
    <t xml:space="preserve">  (State Income Tax Rate or Composite SIT.  Worksheet G))</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</si>
  <si>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</si>
  <si>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</si>
  <si>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</si>
  <si>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</si>
  <si>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</si>
  <si>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</si>
  <si>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</si>
  <si>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</si>
  <si>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</si>
  <si>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</si>
  <si>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</si>
  <si>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</si>
  <si>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</si>
  <si>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</si>
  <si>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</si>
  <si>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</si>
  <si>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</si>
  <si>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</si>
  <si>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 xml:space="preserve"> Line Deliberately Left Blank</t>
  </si>
  <si>
    <t xml:space="preserve"> Lines 24-58 Column (B) Deliberately Left Blank</t>
  </si>
  <si>
    <t xml:space="preserve"> Lines 24-58 Column (D) Deliberately Left Blank</t>
  </si>
  <si>
    <t>Line Left Deliberately Blank</t>
  </si>
  <si>
    <t>Transmission Materials &amp; Supplies</t>
  </si>
  <si>
    <t>General Materials &amp; Supplies</t>
  </si>
  <si>
    <t xml:space="preserve">  Stores Expense </t>
  </si>
  <si>
    <t>Excludable</t>
  </si>
  <si>
    <t>Source of Data</t>
  </si>
  <si>
    <t>AEPTCo subsidiaries in PJM</t>
  </si>
  <si>
    <t>Plant Held For Future Use</t>
  </si>
  <si>
    <t>( C )</t>
  </si>
  <si>
    <t>General Notes:  a)  References to data from Worksheets are indicated as:  Worksheet X, Line#.Column.X</t>
  </si>
  <si>
    <t>NOTE 1</t>
  </si>
  <si>
    <t>Company Records - Note 1</t>
  </si>
  <si>
    <t>Subtotal - Other Operating Revenues (Company Total equals (FF1 p. 300.26.(b))</t>
  </si>
  <si>
    <t xml:space="preserve"> Worksheet G Supporting - Development of Composite State Income Tax Rate</t>
  </si>
  <si>
    <t>Revenue Credits to Generators (Company Records - Note 1)</t>
  </si>
  <si>
    <t>Accounting Adjustment  (Company Records - Note 1)</t>
  </si>
  <si>
    <t>Average Balance of Common Equity</t>
  </si>
  <si>
    <t>Development of Cost of  Long Term Debt Based on Average Outstanding Balance</t>
  </si>
  <si>
    <t>Amort of Debt Discount &amp; Expense (117.63.c)</t>
  </si>
  <si>
    <t>Amort of Loss on Reacquired Debt (117.64.c)</t>
  </si>
  <si>
    <t>Less: Amort of Premium on Debt (117.65.c)</t>
  </si>
  <si>
    <t>Less: Amort of Gain on Reacquired Debt (117.66.c)</t>
  </si>
  <si>
    <t>Development of Cost of Preferred Stock</t>
  </si>
  <si>
    <t>Bonds (112.18.c&amp;d)</t>
  </si>
  <si>
    <t>Less: Reacquired Bonds (112.19.c&amp;d)</t>
  </si>
  <si>
    <t>Interest on Long Term Debt (256-257.33.i)</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</si>
  <si>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</si>
  <si>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</si>
  <si>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</si>
  <si>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</si>
  <si>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</si>
  <si>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</si>
  <si>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</si>
  <si>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</si>
  <si>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</si>
  <si>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</si>
  <si>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</si>
  <si>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</si>
  <si>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</si>
  <si>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</si>
  <si>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TP1</t>
  </si>
  <si>
    <t>TP1=</t>
  </si>
  <si>
    <t>Non-</t>
  </si>
  <si>
    <t xml:space="preserve">IPP CONTRIBUTIONS FOR CONSTRUCTION  </t>
  </si>
  <si>
    <t>TAXES OTHER THAN INCOME</t>
  </si>
  <si>
    <t>TOTAL OTHER TAXES</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</si>
  <si>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</si>
  <si>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</si>
  <si>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</si>
  <si>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</si>
  <si>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</si>
  <si>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</si>
  <si>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</si>
  <si>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</si>
  <si>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</si>
  <si>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</si>
  <si>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</si>
  <si>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</si>
  <si>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</si>
  <si>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</si>
  <si>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</si>
  <si>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</si>
  <si>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</si>
  <si>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</si>
  <si>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</si>
  <si>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</si>
  <si>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</si>
  <si>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</si>
  <si>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</si>
  <si>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</si>
  <si>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</si>
  <si>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</si>
  <si>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</si>
  <si>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</si>
  <si>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</si>
  <si>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</si>
  <si>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</si>
  <si>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</si>
  <si>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</si>
  <si>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</si>
  <si>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</si>
  <si>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</si>
  <si>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</si>
  <si>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</si>
  <si>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</si>
  <si>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Michigan Single Business Tax</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</si>
  <si>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</si>
  <si>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</si>
  <si>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</si>
  <si>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</si>
  <si>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</si>
  <si>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</si>
  <si>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</si>
  <si>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</si>
  <si>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</si>
  <si>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</si>
  <si>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</si>
  <si>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</si>
  <si>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</si>
  <si>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</si>
  <si>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</si>
  <si>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</si>
  <si>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</si>
  <si>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</si>
  <si>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</si>
  <si>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NA</t>
  </si>
  <si>
    <t xml:space="preserve">  Transmission</t>
  </si>
  <si>
    <t>DA</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</si>
  <si>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</si>
  <si>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</si>
  <si>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</si>
  <si>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</si>
  <si>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</si>
  <si>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</si>
  <si>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</si>
  <si>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</si>
  <si>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</si>
  <si>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</si>
  <si>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</si>
  <si>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</si>
  <si>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</si>
  <si>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</si>
  <si>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</si>
  <si>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</si>
  <si>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</si>
  <si>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</si>
  <si>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</si>
  <si>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</si>
  <si>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</si>
  <si>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</si>
  <si>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</si>
  <si>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</si>
  <si>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</si>
  <si>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</si>
  <si>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</si>
  <si>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</si>
  <si>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</si>
  <si>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</si>
  <si>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</si>
  <si>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</si>
  <si>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</si>
  <si>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</si>
  <si>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</si>
  <si>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</si>
  <si>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</si>
  <si>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</si>
  <si>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</si>
  <si>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</si>
  <si>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</si>
  <si>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</si>
  <si>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</si>
  <si>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</si>
  <si>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</si>
  <si>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</si>
  <si>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</si>
  <si>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</si>
  <si>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</si>
  <si>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</si>
  <si>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</si>
  <si>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</si>
  <si>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</si>
  <si>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</si>
  <si>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</si>
  <si>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</si>
  <si>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</si>
  <si>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</si>
  <si>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</si>
  <si>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</si>
  <si>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</si>
  <si>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</si>
  <si>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</si>
  <si>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</si>
  <si>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</si>
  <si>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</si>
  <si>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</si>
  <si>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</si>
  <si>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</si>
  <si>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</si>
  <si>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</si>
  <si>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</si>
  <si>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</si>
  <si>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</si>
  <si>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</si>
  <si>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</si>
  <si>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</si>
  <si>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</si>
  <si>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</si>
  <si>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</si>
  <si>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</si>
  <si>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</si>
  <si>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</si>
  <si>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</si>
  <si>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AEP East Consolidated Utility Capital Structure</t>
  </si>
  <si>
    <t>Appalachian Power Company</t>
  </si>
  <si>
    <t>Indiana Michigan Power Company</t>
  </si>
  <si>
    <t>Kentucky Power Company</t>
  </si>
  <si>
    <t>Kingsport Power Company</t>
  </si>
  <si>
    <t>Ohio Power Company</t>
  </si>
  <si>
    <t>Wheeling Power Company</t>
  </si>
  <si>
    <t>AEP East Operating Companies' Consolidated Capital Structure</t>
  </si>
  <si>
    <t>Development of Long Term Debt Balances at Year End</t>
  </si>
  <si>
    <t>Development of Long Term Debt Interest Expense</t>
  </si>
  <si>
    <t>Less: Hedge Interest on pp 256-257(i)</t>
  </si>
  <si>
    <t>Development of Cost of Preferred Stock and Preferred Dividends</t>
  </si>
  <si>
    <t>Dividend Rate (p. 250-251. 7.a)</t>
  </si>
  <si>
    <t>Par Value (p. 250-251. 8.c)</t>
  </si>
  <si>
    <t>Shares Outstanding (p.250-251. 8.e)</t>
  </si>
  <si>
    <t>Development of Common Equity</t>
  </si>
  <si>
    <t>Proprietary Capital (112.16.c)</t>
  </si>
  <si>
    <t>Less: Account 216.1 (112.12.c)</t>
  </si>
  <si>
    <t xml:space="preserve">Less: Account 219.1 (112.15.c) </t>
  </si>
  <si>
    <t>Balance of Common Equity</t>
  </si>
  <si>
    <t>Calculation of Capital Shares</t>
  </si>
  <si>
    <t>Total Company Structure</t>
  </si>
  <si>
    <t>Calculation of Capital Cost Rate</t>
  </si>
  <si>
    <t>Common Equity Capital Cost Rate</t>
  </si>
  <si>
    <t>Calculation of Weighted Capital Cost Rate</t>
  </si>
  <si>
    <t>Consolidation of Operating Companies' Average Capital Structure</t>
  </si>
  <si>
    <t>Development of Average Long Term Debt</t>
  </si>
  <si>
    <t>Average Balance of Long Term Debt</t>
  </si>
  <si>
    <t>Development of Average Common Equity</t>
  </si>
  <si>
    <t>Average of Total Company Structure</t>
  </si>
  <si>
    <t>T-Plant (FF1 206.58.b)</t>
  </si>
  <si>
    <t>T-Plant (FF1 206.58.g)</t>
  </si>
  <si>
    <t>TOTAL</t>
  </si>
  <si>
    <t>Depreciation (FF1 336.7.f)</t>
  </si>
  <si>
    <t>Removes plant excluded from the OATT because it does not meet the PJM's definition of Transmission Facilities or is otherwise ineligible to be recovered under the OATT.</t>
  </si>
  <si>
    <t>Less: Net Value  Exempted Generation Plant</t>
  </si>
  <si>
    <t>Less: Net Value of Exempted Generation Plant</t>
  </si>
  <si>
    <t xml:space="preserve">  Regional Market Expenses</t>
  </si>
  <si>
    <t>Worksheet D Supporting  IPP Credits</t>
  </si>
  <si>
    <t>(Note S)</t>
  </si>
  <si>
    <t>NOTE:  The balance of fair value hedges on outstanding long term debt are to be excluded from the balance of long term debt included in the formula's capital structure. (page 257, Column H of the FF1)</t>
  </si>
  <si>
    <t>For Twelve Months Ended</t>
  </si>
  <si>
    <t>Facility Credits under PJM OATT Section 30.9</t>
  </si>
  <si>
    <t xml:space="preserve"> Revenue Requirement for PJM Schedule 12 Facilities (w/o incentives)  (Worksheet J/K)</t>
  </si>
  <si>
    <t>ADDITIONAL REVENUE REQUIREMENT for projects w/ incentive ROE's (Note B) (Worksheet J/K)</t>
  </si>
  <si>
    <t>Excess Deferred Income Tax</t>
  </si>
  <si>
    <t>U</t>
  </si>
  <si>
    <t>Tax Affect of Permanent Differences</t>
  </si>
  <si>
    <t>RESERVED FOR FUTURE USE</t>
  </si>
  <si>
    <t>Reserved for Future Use</t>
  </si>
  <si>
    <t>Cost of Service Formula Rate Using Actual/Projected FF1 Balances</t>
  </si>
  <si>
    <t>Reserved</t>
  </si>
  <si>
    <t>True-up Adjustment - Over (Under) Recovery</t>
  </si>
  <si>
    <t>Over (Under) Recovery Plus Interest</t>
  </si>
  <si>
    <t>Average Monthly Interest Rate</t>
  </si>
  <si>
    <t>Months</t>
  </si>
  <si>
    <t>Calculated Interest</t>
  </si>
  <si>
    <t>Amortization</t>
  </si>
  <si>
    <t>Surcharge (Refund) Owed</t>
  </si>
  <si>
    <t>Calculation of Interest</t>
  </si>
  <si>
    <t>Monthly</t>
  </si>
  <si>
    <t>January</t>
  </si>
  <si>
    <t>February</t>
  </si>
  <si>
    <t>March</t>
  </si>
  <si>
    <t>April</t>
  </si>
  <si>
    <t>May</t>
  </si>
  <si>
    <t>June</t>
  </si>
  <si>
    <t>July</t>
  </si>
  <si>
    <t>August</t>
  </si>
  <si>
    <t>September</t>
  </si>
  <si>
    <t>October</t>
  </si>
  <si>
    <t>November</t>
  </si>
  <si>
    <t>December</t>
  </si>
  <si>
    <t>Annual</t>
  </si>
  <si>
    <t>January  through December</t>
  </si>
  <si>
    <t>Over (Under) Recovery Plus Interest Amortized and Recovered Over 12 Months</t>
  </si>
  <si>
    <t>True-Up Adjustment with Interest</t>
  </si>
  <si>
    <t>Less Over (Under) Recovery</t>
  </si>
  <si>
    <t>Total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</si>
  <si>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</si>
  <si>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R - True-up With Interest</t>
  </si>
  <si>
    <t>Includes only FICA, unemployment, highway, property and other assessments.  Gross receipts, sales &amp; use and taxes related to income are excluded.</t>
  </si>
  <si>
    <t xml:space="preserve"> Worksheet I RESERVED</t>
  </si>
  <si>
    <t>Average Life in Whole Years</t>
  </si>
  <si>
    <t xml:space="preserve"> Worksheet L RESERVED</t>
  </si>
  <si>
    <t xml:space="preserve">shall include all revenues associated with those directly assigned transmission facilities, irrespective of whether the loads </t>
  </si>
  <si>
    <t>assigned transmission facilities are not included in the transmission plant balances on which the formula rate ATRR is based.</t>
  </si>
  <si>
    <t>In compliance with FERC Rulemaking the calculation of ADIT in the annual projection will be performed in accordance</t>
  </si>
  <si>
    <t>with IRS regulation Section 1.167(I)-I(h)(6)(ii).  Detailed balances for the projected or actual period, distinguished between utility and non-utility</t>
  </si>
  <si>
    <t>balances, will be filed and posted as part of the informational filing.</t>
  </si>
  <si>
    <t xml:space="preserve">Removes the impact of state regulatory deferrals or their amortization from Transmission O&amp;M expense. </t>
  </si>
  <si>
    <t>The formula rate shall reflect the applicable state and federal statutory tax rates in effect during the period the calculated estimated unit charges are applicable.  If the statutory tax rates change during such period, the effective tax rates used in the formula shall be weighted by the number of days the pre-ochange rate and post-change rate each is in effect.</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</si>
  <si>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</si>
  <si>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</si>
  <si>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The formula rate shall allocate property tax expense based on the as filed net plant cost allocation method detailed on Worksheet H.</t>
  </si>
  <si>
    <t>W</t>
  </si>
  <si>
    <t>AEP Transmission Companies will record depreciation expense using composites of the depreciation rates shown on Worksheet P which rates will not be changed absent a Section 205 or 206 filing at FERC to seek a change in depreciation rates.  No other changes to the formula rate may be included in that filing.</t>
  </si>
  <si>
    <t>X</t>
  </si>
  <si>
    <t xml:space="preserve">7) If AEP Transmission Companies have any directly assigned transmission facilities, the revenue credits in the formula rate </t>
  </si>
  <si>
    <t>of the customer are included in the formula rate divisor; provided however, such addition to revenue credits shall not be reflected if the costs of such directly</t>
  </si>
  <si>
    <t>The annual and monthly net plant carrying charges on page 1 are used to compute the revenue requirement for RTEP sponsored upgrades or those projects receiving approved incentive-ROE's.  Interest will be calculated based on Worksheet R and any over under recovery will be filed and posted as part of the informational filing.</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</si>
  <si>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</si>
  <si>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Return and Taxes</t>
  </si>
  <si>
    <t>AEPTCo Subsidiaries in PJM</t>
  </si>
  <si>
    <t>____________ JURISDICTION</t>
  </si>
  <si>
    <t xml:space="preserve">Includes functional wages &amp; salaries billed by AEP Service Corporation  for support of the operating company. </t>
  </si>
  <si>
    <t>Apportionment Factor - Note 1</t>
  </si>
  <si>
    <t xml:space="preserve">Actual After True-up </t>
  </si>
  <si>
    <t xml:space="preserve">   Annual Revenue Requirement, Less Lease Payments, Return and Taxes</t>
  </si>
  <si>
    <t>.</t>
  </si>
  <si>
    <t xml:space="preserve">Subtotal - Form 1, p 111.57.d  </t>
  </si>
  <si>
    <t>5a</t>
  </si>
  <si>
    <t>Account 457.1, Regional Control Service  Revenues (FF1 p.300.23.(b); Company Records - Note 1)</t>
  </si>
  <si>
    <t>5b</t>
  </si>
  <si>
    <t>Account 457.2, Miscellaneous Revenues (FF1p.300.24.(b); Company Records - Note 1)</t>
  </si>
  <si>
    <t>Note 2</t>
  </si>
  <si>
    <t>The total of line 4 and line 5 will equal total Account 456 as listed on FF1 p.300.21-22.(b)</t>
  </si>
  <si>
    <t>Total (FERC Form 1 p.323.189.b)</t>
  </si>
  <si>
    <t>Total (FERC Form 1 p.323.191.b)</t>
  </si>
  <si>
    <t>Total (FERC Form 1 p.323.192.b)</t>
  </si>
  <si>
    <r>
      <t>GP</t>
    </r>
    <r>
      <rPr>
        <strike/>
        <sz val="12"/>
        <color indexed="10"/>
        <rFont val="Arial"/>
        <family val="2"/>
      </rPr>
      <t>(h)</t>
    </r>
  </si>
  <si>
    <t>UNFUNDED RESERVES (ENTER NEGATIVE) (NOTE Y)</t>
  </si>
  <si>
    <t>(Worksheet A ln 54.(e))</t>
  </si>
  <si>
    <t>Tax Effect of Permanent and Flow-Through Differences</t>
  </si>
  <si>
    <r>
      <t>NP</t>
    </r>
    <r>
      <rPr>
        <strike/>
        <sz val="12"/>
        <rFont val="Arial"/>
        <family val="2"/>
      </rPr>
      <t>(h)</t>
    </r>
  </si>
  <si>
    <t>Y</t>
  </si>
  <si>
    <t>The cost of service will make a rate base adjustment to remove unfunded reserves associated with contingent liabiliites recorded to Accounts 228.1-228.4 from rate base.</t>
  </si>
  <si>
    <t>SPECIFIED DEFERRED CREDITS - Actual Cycle Only</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</si>
  <si>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</si>
  <si>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</si>
  <si>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</si>
  <si>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</si>
  <si>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</si>
  <si>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</si>
  <si>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</si>
  <si>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</si>
  <si>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</si>
  <si>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</si>
  <si>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</si>
  <si>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</si>
  <si>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</si>
  <si>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</si>
  <si>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</si>
  <si>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</si>
  <si>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</si>
  <si>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</si>
  <si>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</si>
  <si>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</si>
  <si>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</si>
  <si>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</si>
  <si>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</si>
  <si>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</si>
  <si>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</si>
  <si>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</si>
  <si>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</si>
  <si>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</si>
  <si>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</si>
  <si>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</si>
  <si>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281 - ARO-Related Deferrals</t>
  </si>
  <si>
    <t>ACCOUNT 282:</t>
  </si>
  <si>
    <t>TOTAL ACOUNT 282</t>
  </si>
  <si>
    <t>ACCOUNT 282 - ARO-Related Deferals</t>
  </si>
  <si>
    <t>ACCOUNT 283:</t>
  </si>
  <si>
    <t>DEFD STATE INCOME TAXES</t>
  </si>
  <si>
    <t>TOTAL ACCOUNT 283</t>
  </si>
  <si>
    <t>ACCOUNT 283 - ARO-Related Deferals</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</si>
  <si>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</si>
  <si>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</si>
  <si>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</si>
  <si>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</si>
  <si>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</si>
  <si>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</si>
  <si>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ACCUMULATED DEFERRED INCOME TAX IN ACCOUNT 190 - Actual Cycle Only</t>
  </si>
  <si>
    <t>DEBIT  (CREDIT)</t>
  </si>
  <si>
    <t>ACCOUNT 190:</t>
  </si>
  <si>
    <t>TOTAL ACCOUNT 190</t>
  </si>
  <si>
    <t>ACCOUNT 190 - ARO-Related Deferals</t>
  </si>
  <si>
    <t>Note 1:</t>
  </si>
  <si>
    <t>Tax Year</t>
  </si>
  <si>
    <t>Total
Company</t>
  </si>
  <si>
    <t>FERC FORM 1
Tie-Back</t>
  </si>
  <si>
    <t>Tax Year Factor
(Note 2)</t>
  </si>
  <si>
    <t xml:space="preserve">"Real Estate and Personal Propety Tax Detail 
Annual Tax Expenses by Type (Note 1)"
</t>
  </si>
  <si>
    <t>Transmission Function
(Note 2)</t>
  </si>
  <si>
    <t xml:space="preserve">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  </t>
  </si>
  <si>
    <t xml:space="preserve"> Worksheet A Rate Base</t>
  </si>
  <si>
    <t>Gross Plant In Service</t>
  </si>
  <si>
    <t>Line 
No</t>
  </si>
  <si>
    <t>Month</t>
  </si>
  <si>
    <t>Transmission ARO</t>
  </si>
  <si>
    <t>General ARO</t>
  </si>
  <si>
    <t>Intangible</t>
  </si>
  <si>
    <t>(a)</t>
  </si>
  <si>
    <t>(d)</t>
  </si>
  <si>
    <t>(e)</t>
  </si>
  <si>
    <t>(h)</t>
  </si>
  <si>
    <t>(i)</t>
  </si>
  <si>
    <t>(j)</t>
  </si>
  <si>
    <t>(Note A)</t>
  </si>
  <si>
    <t>December Prior to Rate Year</t>
  </si>
  <si>
    <t xml:space="preserve">March </t>
  </si>
  <si>
    <t xml:space="preserve">August </t>
  </si>
  <si>
    <t>December  of Rate Year</t>
  </si>
  <si>
    <t xml:space="preserve">Average of the 13 Monthly Balances </t>
  </si>
  <si>
    <t>Accumulated Depreciation</t>
  </si>
  <si>
    <t>Company Records</t>
  </si>
  <si>
    <t>OATT Ancillary Services (GSU) Plant In Service</t>
  </si>
  <si>
    <t>OATT Ancillary Services (GSU) Accumulated Depreciation</t>
  </si>
  <si>
    <t>Excluded Plant  - Plant In Service</t>
  </si>
  <si>
    <t>Excluded Plant  - Accumulated Depreciation</t>
  </si>
  <si>
    <t>(b)</t>
  </si>
  <si>
    <t>(c)</t>
  </si>
  <si>
    <t>Transmission Accumulated Depreciation net of GSU</t>
  </si>
  <si>
    <t>Total Regulatory Deferrals Included in Ratebase</t>
  </si>
  <si>
    <t>Unfunded Reserves Summary (Company Records)</t>
  </si>
  <si>
    <t>53a</t>
  </si>
  <si>
    <t>53b</t>
  </si>
  <si>
    <t xml:space="preserve">NOTE 1: On this worksheet, "Company Records" refers to AEP's property accounting ledger. </t>
  </si>
  <si>
    <t>NOTE 2: The ratebase should not include the unamoritzed balance of hedging gains or losses.</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</si>
  <si>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</si>
  <si>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</si>
  <si>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</si>
  <si>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</si>
  <si>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</si>
  <si>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</si>
  <si>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</si>
  <si>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</si>
  <si>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</si>
  <si>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Bonds</t>
  </si>
  <si>
    <t>Less: Reacquired Bonds</t>
  </si>
  <si>
    <t>Less: Fair Value Hedges</t>
  </si>
  <si>
    <t>(f)</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</si>
  <si>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</si>
  <si>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</si>
  <si>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</si>
  <si>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</si>
  <si>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</si>
  <si>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</si>
  <si>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</si>
  <si>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(g)</t>
  </si>
  <si>
    <t>CALCULATION OF HEDGE GAINS/LOSSES TO BE EXCLUDED FROM TCOS</t>
  </si>
  <si>
    <t>Dividends on Preferred Stock (Acct 437, FF1 118.29))</t>
  </si>
  <si>
    <t>Gross Proceeds Outstanding Long-Term Debt</t>
  </si>
  <si>
    <t>Acct 223
LT Advances from Assoc. Companies</t>
  </si>
  <si>
    <t>Acct 224
Senior Unsecured Notes</t>
  </si>
  <si>
    <t>323.197.b (Notes J &amp; M)</t>
  </si>
  <si>
    <r>
      <t>GP</t>
    </r>
    <r>
      <rPr>
        <b/>
        <sz val="12"/>
        <rFont val="Arial"/>
        <family val="2"/>
      </rPr>
      <t>=</t>
    </r>
  </si>
  <si>
    <r>
      <t>NP</t>
    </r>
    <r>
      <rPr>
        <b/>
        <sz val="12"/>
        <rFont val="Arial"/>
        <family val="2"/>
      </rPr>
      <t>=</t>
    </r>
  </si>
  <si>
    <t>GP</t>
  </si>
  <si>
    <t xml:space="preserve"> (Note T)</t>
  </si>
  <si>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</si>
  <si>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On this worksheet, "Company Records" refers to AEP's tax forecast and accounting ledger.  The PTRR will use</t>
  </si>
  <si>
    <t>projected ending balances and reflect proration required by IRS Letter Rule Section I.I67(I)-I(h)(6)(ii).  Line item detail of actual deferred tax items will be included on Worksheets B-1 and B-2.</t>
  </si>
  <si>
    <t>Stores Expense (Undistributed) - Account 163</t>
  </si>
  <si>
    <t>Prepayment Balance Summary (Note 1)</t>
  </si>
  <si>
    <t>Account 4560015, Associated Business Development - (Company Records - Notes 1, 2)</t>
  </si>
  <si>
    <t>Account 456 - Other Electric Revenues - (Company Records - Notes 1,2)</t>
  </si>
  <si>
    <t>Note 1: The taxes assessed on each transmission company can differ from year to year and between transmission companies by both the type of taxes and the states in which they were assessed.  Therefore, for each company, the types and jurisdictions of tax expense recorded on this page could differ from the same page in the same company's prior year template or from this page in other transmission companies' current year templates. For each update, this sheet will be revised to ensure that the total activity recorded hereon equals the total reported in account 408.1 on P. 114, Ln 14.(c) of the Ferc Form 1.</t>
  </si>
  <si>
    <t>Amort of Debt Discount &amp; Expense - Acct 428 (117.63.c)</t>
  </si>
  <si>
    <t>Amort of Loss on Reacquired Debt - Acct 428.1 (117.64.c)</t>
  </si>
  <si>
    <t>Less: Amort of Premium on Debt - Acct 429 (117.65.c)</t>
  </si>
  <si>
    <t>Less: Amort of Gain on Reacquired Debt - Acct 429.1 (117.66.c)</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</si>
  <si>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</si>
  <si>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43)</t>
    </r>
  </si>
  <si>
    <t>Calculation of Post-employment Benefits Other than Pensions Expenses Allocable to Transmission Service</t>
  </si>
  <si>
    <t>Worksheet O - PBOP Support</t>
  </si>
  <si>
    <t>PBOP</t>
  </si>
  <si>
    <t>Calculation of PBOP Expenses</t>
  </si>
  <si>
    <t>AEP System PBOP Rate</t>
  </si>
  <si>
    <t xml:space="preserve">Total AEP System PBOP expenses </t>
  </si>
  <si>
    <t>Base Year relating to retired personnel</t>
  </si>
  <si>
    <t xml:space="preserve">Amount allocated on Labor </t>
  </si>
  <si>
    <t>Total AEP System Direct Labor Expense</t>
  </si>
  <si>
    <t>AEP System PBOP expense per dollar of direct labor (PBOP Rate)</t>
  </si>
  <si>
    <t>Currently Approved PBOP Rate</t>
  </si>
  <si>
    <t>Base PBOP TransCo labor expensed in current year</t>
  </si>
  <si>
    <t>Direct PBOP Expense per Actuarial Report</t>
  </si>
  <si>
    <t>Additional PBOP Ledger Entry (From Company Records)</t>
  </si>
  <si>
    <t>Medicare Credit</t>
  </si>
  <si>
    <t>PBOP Expenses From AEP Affiliates (From Company Records)</t>
  </si>
  <si>
    <t xml:space="preserve">Actual PBOP Expense </t>
  </si>
  <si>
    <t>PBOP Adjustment</t>
  </si>
  <si>
    <t>Note: PBOP Expense will be calculated in accordance with the settlement in Docket ER10-355.</t>
  </si>
  <si>
    <t>As part of the annual update process, AEP will provide to transmission customers and include in its informational filing an independently prepared actuarial report that includes a ten (10) year forecast of PBOP expenses.  During the annual update process conducted for rate year 2018 and every four years thereafter, Worksheet O will be used to determine whether the PBOP allowance rate ($PBOP per $Direct O&amp;M Labor) should be adjusted going forward for the next four years.  If the annual actuarial report issued during the year of any PBOP rate review projects PBOP costs during the next four years that, when allocated to the AEP Transmission Companies based on their projected direct labor expenses over that same projected four-year period, absent a change in the PBOP Rate, will likely cause the AEP East Transmission Companies to over or under collect their cumulative PBOP expenses by more than 20% of the projected next four year’s total PBOP expense, taking into account the net over or under collection of such expenses during the previous four years, the PBOP rate shall be adjusted.  In order to determine whether continued use of the then approved PBOP rate is likely to result in the AEP Companies’ incurrence of a cumulative allowance of PBOP costs under the formula rate will result in a cumulative over or under-recoery of actual PBOP expenses exceeding 20% over the subsequent four year period, Worksheet O will be used to determine (a) the level of cumulative over or under collections of PBOP expense during the time since the PBOP allowance rate was last set, including carrying costs based on the weighted average cost of capital each year from the formula rate actual transmission cost-of-service (b) the cumulative net present value of projected PBOP costs during the next four years as estimated by the then current actuarial report, assuming a discount rate equal to the actual transmission cost of service average cost of capital for the immediately prior calendar year and (c) the cumulative net present value of continued collections over the next four years based on the projected AEP Transmission Companies direct labor expenses and the then effective PBOP allowance rate assuming a discount rate equal to the prior year weighted average cost of capital.  If the absolute value of (a)+(b)-(c) exceeds 20% of (b), then the PBOP allowance rate used in the formula rate calculation shall be changed to the value that will cause the projected result of (a)+(b)-(c) to equal zero.  If the projected over or under collection during the next four years, (a)+(b)-(c), is less than 20% of (b), then the PBOP Rate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Rate  stated in the formula rate shown on Worksheet O.  No other changes to the formula rate may be included in that filing.</t>
  </si>
  <si>
    <t>The Post-employment Benefit Other than Pension (PBOP) expense is fixed based on an approved ratio of PBOP expense to direct labor expense.</t>
  </si>
  <si>
    <t>See note K above. Recoverable PBOP expense is based on a rate of $(0.058) cents per dollar of direct labor.  This rate may be adjusted up or down every four years based on a comparison of the Allowable TransCo PBOP Expense and the Actual PBOP Expense for a four year Historic and four year Projected  period.  If the over or under collection is greater than plus or minus 20% of the recoverable amount, an adjustment will be proposed in a Section 205 rate filing.</t>
  </si>
  <si>
    <t>Transmission Plant Balances in this study are projected or actual average 13 month balances.</t>
  </si>
  <si>
    <t xml:space="preserve">Interest Rate on Amount of Refunds or </t>
  </si>
  <si>
    <t>Surcharges (Note 1)</t>
  </si>
  <si>
    <t>Capital Structure Equity Limit (Note Z)</t>
  </si>
  <si>
    <t>Cap Limit</t>
  </si>
  <si>
    <t>Actual</t>
  </si>
  <si>
    <t>Z</t>
  </si>
  <si>
    <t xml:space="preserve">Per the settlement in EL17-13, equity is limited to 55% in of the Company's capital structure.  If the percentage of actual equity exceeds the cap, the excess is included as long term debt in the capital structure.  </t>
  </si>
  <si>
    <t>EFFECTIVE AS OF July 1, 2015</t>
  </si>
  <si>
    <t>AEP Kentucky Transmission Company</t>
  </si>
  <si>
    <r>
      <t xml:space="preserve">Note: </t>
    </r>
    <r>
      <rPr>
        <sz val="12"/>
        <rFont val="Arial MT"/>
      </rPr>
      <t>Per the Settlement in Docket No. ER10-355, Appendix A.1.2, AEP KENTUCKY TRANSMISSION COMPANY shall use the depreciation rates shown above by FERC Account until such time as the FERC approves new depreciation rates pusuant to a Section 205 or 206 filing to change rates.</t>
    </r>
  </si>
  <si>
    <t>KPCO</t>
  </si>
  <si>
    <r>
      <t>Note:</t>
    </r>
    <r>
      <rPr>
        <sz val="12"/>
        <rFont val="Arial"/>
        <family val="2"/>
      </rPr>
      <t xml:space="preserve"> AEP KENTUCKY TRANSMISSION COMPANY shall initially use the composite depreciation rate for kpco shown above to estimate depreciation expense for transmission projects in Worksheets I, J and K until a composite depreciation rate based on transmission plant in service and depreciation expenses recorded by AEP KENTUCKY TRANSMISSION COMPANY for its own transmission facilities can be calculated in AEP KENTUCKY TRANSMISSION COMPANY's the first Annual Update including a True-Up TCOS.</t>
    </r>
  </si>
  <si>
    <t>1650001</t>
  </si>
  <si>
    <t>Prepaid Insurance</t>
  </si>
  <si>
    <t>1650021</t>
  </si>
  <si>
    <t>Prepaid Inssurance EIS</t>
  </si>
  <si>
    <t>9280000</t>
  </si>
  <si>
    <t>Regulatory Commission Exp</t>
  </si>
  <si>
    <t>9280001</t>
  </si>
  <si>
    <t>Regulatory Commission Exp-Adm</t>
  </si>
  <si>
    <t>9280002</t>
  </si>
  <si>
    <t>Regulatory Commission Exp-Case</t>
  </si>
  <si>
    <t>9280005</t>
  </si>
  <si>
    <t>Reg Com Exp-FERC Trans Cases</t>
  </si>
  <si>
    <t>9301000</t>
  </si>
  <si>
    <t>General Advertising Expenses</t>
  </si>
  <si>
    <t>9301001</t>
  </si>
  <si>
    <t>Newspaper Advertising Space</t>
  </si>
  <si>
    <t>9301012</t>
  </si>
  <si>
    <t>Public Opinion Surveys</t>
  </si>
  <si>
    <t>9302000</t>
  </si>
  <si>
    <t>Misc General Expenses</t>
  </si>
  <si>
    <t>9302003</t>
  </si>
  <si>
    <t>Corporate &amp; Fiscal Expenses</t>
  </si>
  <si>
    <t>9302007</t>
  </si>
  <si>
    <t>Assoc Business Development Exp</t>
  </si>
  <si>
    <t>b1495 (Add an additional 765/345 kV transformer at Baker Station)</t>
  </si>
  <si>
    <t>No</t>
  </si>
  <si>
    <t>Real and Personal Property - Kentucky</t>
  </si>
  <si>
    <t xml:space="preserve">Real and Personal Property - </t>
  </si>
  <si>
    <t>KENTUCKY JURISDICTION</t>
  </si>
  <si>
    <t xml:space="preserve">NON-UTILITY DEFERRED FIT </t>
  </si>
  <si>
    <t>SFAS 109 FLOW-THRU 282.3</t>
  </si>
  <si>
    <t>SFAS 109 EXCESS DFIT 282.4</t>
  </si>
  <si>
    <t>SFAS 109 FLOW-THRU 283.3</t>
  </si>
  <si>
    <t>SFAS 109 EXCESS DFIT 283.4</t>
  </si>
  <si>
    <t>SFAS 133 ADIT FED - SFAS 133 NONAFFIL 2830006</t>
  </si>
  <si>
    <t>ADIT - FED-HDG-CF-INT RATE 2830015</t>
  </si>
  <si>
    <t xml:space="preserve">Kentucky State Tax Rate </t>
  </si>
  <si>
    <t>SFAS 109 FLOW-THRU 190.3</t>
  </si>
  <si>
    <t>SFAS 109 EXCESS DFIT 190.4</t>
  </si>
  <si>
    <t>ADIT FED - PENSION OCI NAF 1900009</t>
  </si>
  <si>
    <t>ADIT-FED-HDG-CF-INT RATE1900015</t>
  </si>
  <si>
    <t>DEFERRED SIT  1901002</t>
  </si>
  <si>
    <t xml:space="preserve">SFAS 109 - DEFD STATE INCOME TAXES </t>
  </si>
  <si>
    <t>AEP  KENTUCKY TRANSMISSION COMPANY, INC.</t>
  </si>
  <si>
    <t>Debit/(Credit)</t>
  </si>
  <si>
    <t xml:space="preserve">I </t>
  </si>
  <si>
    <t xml:space="preserve">J </t>
  </si>
  <si>
    <t>Balance Sheet Entries</t>
  </si>
  <si>
    <t>Tax Expense Entries</t>
  </si>
  <si>
    <t xml:space="preserve">Line No. </t>
  </si>
  <si>
    <t>Description of Account</t>
  </si>
  <si>
    <t>Protected
Unprotected</t>
  </si>
  <si>
    <t>Tax Rate Change Act</t>
  </si>
  <si>
    <t>Amortization Methodology (NOTE C)</t>
  </si>
  <si>
    <t>Amotization Period</t>
  </si>
  <si>
    <t>Balance Sheet Account Reclassifications</t>
  </si>
  <si>
    <t>410/411 Deferred Tax Expense/ (Benefit)</t>
  </si>
  <si>
    <t>Reference</t>
  </si>
  <si>
    <t>Sum of Cols (I) - (O)</t>
  </si>
  <si>
    <t>Deferred Tax Account (NOTE B)</t>
  </si>
  <si>
    <t>1a</t>
  </si>
  <si>
    <r>
      <t>190</t>
    </r>
    <r>
      <rPr>
        <sz val="9"/>
        <color indexed="10"/>
        <rFont val="Arial"/>
        <family val="2"/>
      </rPr>
      <t>4</t>
    </r>
    <r>
      <rPr>
        <sz val="9"/>
        <rFont val="Arial"/>
        <family val="2"/>
      </rPr>
      <t>001</t>
    </r>
  </si>
  <si>
    <t xml:space="preserve">ADFIT - FAS 109 Excess </t>
  </si>
  <si>
    <t>N/A</t>
  </si>
  <si>
    <t>TCJA 2017</t>
  </si>
  <si>
    <t>1b</t>
  </si>
  <si>
    <r>
      <t>282</t>
    </r>
    <r>
      <rPr>
        <sz val="9"/>
        <color indexed="10"/>
        <rFont val="Arial"/>
        <family val="2"/>
      </rPr>
      <t>1</t>
    </r>
    <r>
      <rPr>
        <sz val="9"/>
        <rFont val="Arial"/>
        <family val="2"/>
      </rPr>
      <t>001</t>
    </r>
  </si>
  <si>
    <t>ADFIT - Utility Property</t>
  </si>
  <si>
    <t>Protected</t>
  </si>
  <si>
    <t>ARAM</t>
  </si>
  <si>
    <t>Life of Asset</t>
  </si>
  <si>
    <t>1c</t>
  </si>
  <si>
    <t>Unprotected</t>
  </si>
  <si>
    <t>10 Years</t>
  </si>
  <si>
    <t>1/2018 - 12/2027</t>
  </si>
  <si>
    <t>1d</t>
  </si>
  <si>
    <r>
      <t>282</t>
    </r>
    <r>
      <rPr>
        <sz val="9"/>
        <color indexed="10"/>
        <rFont val="Arial"/>
        <family val="2"/>
      </rPr>
      <t>4</t>
    </r>
    <r>
      <rPr>
        <sz val="9"/>
        <rFont val="Arial"/>
        <family val="2"/>
      </rPr>
      <t>001</t>
    </r>
  </si>
  <si>
    <t>ADFIT - Utility Property FAS 109 Excess</t>
  </si>
  <si>
    <t>1e</t>
  </si>
  <si>
    <t>1f</t>
  </si>
  <si>
    <r>
      <t>283</t>
    </r>
    <r>
      <rPr>
        <sz val="9"/>
        <color indexed="10"/>
        <rFont val="Arial"/>
        <family val="2"/>
      </rPr>
      <t>1</t>
    </r>
    <r>
      <rPr>
        <sz val="9"/>
        <rFont val="Arial"/>
        <family val="2"/>
      </rPr>
      <t>001</t>
    </r>
  </si>
  <si>
    <t>ADFIT - Other Utility Deferrals</t>
  </si>
  <si>
    <t>WS B - 1 Col N, ADIT Item 9.03</t>
  </si>
  <si>
    <t>1g</t>
  </si>
  <si>
    <r>
      <t>283</t>
    </r>
    <r>
      <rPr>
        <sz val="9"/>
        <color indexed="10"/>
        <rFont val="Arial"/>
        <family val="2"/>
      </rPr>
      <t>4</t>
    </r>
    <r>
      <rPr>
        <sz val="9"/>
        <rFont val="Arial"/>
        <family val="2"/>
      </rPr>
      <t>001</t>
    </r>
  </si>
  <si>
    <t>ADFIT - Other FAS 109 Excess</t>
  </si>
  <si>
    <t>1h</t>
  </si>
  <si>
    <t>NOTE  D</t>
  </si>
  <si>
    <t>Regulatory Deferral Accounts</t>
  </si>
  <si>
    <t>2a</t>
  </si>
  <si>
    <t xml:space="preserve">Regulatory Asset  </t>
  </si>
  <si>
    <t xml:space="preserve"> Company Records</t>
  </si>
  <si>
    <t>2b</t>
  </si>
  <si>
    <t>Regulatory Liability</t>
  </si>
  <si>
    <t>2c</t>
  </si>
  <si>
    <r>
      <t xml:space="preserve">NOTE </t>
    </r>
    <r>
      <rPr>
        <sz val="9"/>
        <color indexed="10"/>
        <rFont val="Arial"/>
        <family val="2"/>
      </rPr>
      <t>E</t>
    </r>
  </si>
  <si>
    <t>NOTE A</t>
  </si>
  <si>
    <t xml:space="preserve">In order to ensure ratebase neutrality, AEP utilizes the fourth digit of its seven digit FERC Tax subaccount numbers to identify balances associated with uitlity operations vs regulatory reporting requirements.  A "1" in the fourth digit of a FERC tax account refers to the utility operations balance or entry.  Accounts with the "1" designation will be included in the determination of ratebase to be recovered in the formula rate.   A "4"  in the four place of the account number indicates accounts used to track regulatory accounting requirements.  The excess ADIT amounts recorded in accounts with the  "4" designation will be contra to the "1" balance, which will ensure that in the formula rate the excess amount will be part of ratebase, but at the total FERC account level the tax asset or liability will be recorded at the current Federal FIT rate.   The amounts recored in the "4" will be offset on a net basis in  the regulatory asset or liability subaccount established for this purpose. </t>
  </si>
  <si>
    <t>NOTE B:</t>
  </si>
  <si>
    <t>NOTE C:</t>
  </si>
  <si>
    <t>NOTE D:</t>
  </si>
  <si>
    <t>NOTE E:</t>
  </si>
  <si>
    <t>WS B - 1 Col N, ADIT Items 5.11 &amp; 5.12</t>
  </si>
  <si>
    <t>NOL ADJUSTMENT</t>
  </si>
  <si>
    <t>NOL CONTRA</t>
  </si>
  <si>
    <t>WS B - 2 Col B/C, ADIT Item 2.12</t>
  </si>
  <si>
    <t>WS B - 1 Col B/C, ADIT Item 5.17</t>
  </si>
  <si>
    <t>WS B - 1 Col B/C, ADIT Item 9.08</t>
  </si>
  <si>
    <t xml:space="preserve">Long Term Debt cost rate = long-term interest (ln 128) /average long term debt (ln 136). Preferred Stock cost rate = preferred dividends (ln 129) / preferred outstanding (ln 137). </t>
  </si>
  <si>
    <t>Common Stock cost rate (ROE) = 10.35%, per the settlement in FERC Docket No. EL17-13. It includes an additional 50 basis points for PJM RTO membership. All Transmission Companies other than AEP Appalachian Transmission Company utilize their own capital structure and costs as shown on Worksheet M. The calculations on Worksheet M will use the projected or actual 13 month average of long-term debt, common and preferred equity and calendar year long term debt interest expenses, preferred dividends and approved ROE. The long term debt balances and long term debt cost rate shall not include any amounts related to hedging activity. As shown on Worksheet Q, the AEP Appalachian Transmission Company capital structure and weighted cost of capital (WACC) shall be based on the weighted composite of the AEP East Operating Companies beginning and ending average capital structure, including the beginning and ending average outstanding LTD and PS issuances with the common equity portion in Docket No. ER08-1329, and (2) the weighted composite LTD and PS cost using projected or actual calendar year LTD expense and PS dividends of the AEP East Operating Companies excluding all interest rate hedging costs and/or gains, until the Company establishes its own actual capital structure.</t>
  </si>
  <si>
    <t>AEP EAST TRANSMISSION COMPANIES</t>
  </si>
  <si>
    <t>Docket ER20-1888-000</t>
  </si>
  <si>
    <t>AEP KENTUCKY TRANSMISSION COMPANY</t>
  </si>
  <si>
    <t>Compliance Filing</t>
  </si>
  <si>
    <t>ATTACHMENT H-20B</t>
  </si>
  <si>
    <t>Attachment 12</t>
  </si>
  <si>
    <t>WORKSHEET B-3-A</t>
  </si>
  <si>
    <t>Page 3 of 5</t>
  </si>
  <si>
    <t>TAX REMEASUREMENT  WORKSHEET</t>
  </si>
  <si>
    <t>TAX CUT and JOBS ACT of  2017</t>
  </si>
  <si>
    <t>F=E/C</t>
  </si>
  <si>
    <t>H = E + G</t>
  </si>
  <si>
    <t>J = C - H</t>
  </si>
  <si>
    <t>Line No.</t>
  </si>
  <si>
    <t xml:space="preserve">Utility Account </t>
  </si>
  <si>
    <t>12/31/17 Pre-remeasurement Balance</t>
  </si>
  <si>
    <t>Remeasurement Amount</t>
  </si>
  <si>
    <t>Remeasurement Percentage (NOTE 1)</t>
  </si>
  <si>
    <t>190/283 Recalss (NOTE 2)</t>
  </si>
  <si>
    <t>Total Excess/Deficiency by Account (NOTE 3)</t>
  </si>
  <si>
    <t>Protected / Unprotected</t>
  </si>
  <si>
    <t>ADIT Deferral After Remeasurement</t>
  </si>
  <si>
    <t>1901001</t>
  </si>
  <si>
    <t>2018 FF1 P. 234 Col (b) Line 8</t>
  </si>
  <si>
    <t>2821001</t>
  </si>
  <si>
    <t>2018 FF1 P. 274 Col (b) Line 5</t>
  </si>
  <si>
    <t>283 Utility Balance</t>
  </si>
  <si>
    <t>2018 FF1 P. 276 Col (b) Line 9</t>
  </si>
  <si>
    <t>Less: Accum Deferred SIT -Other</t>
  </si>
  <si>
    <t>2831001</t>
  </si>
  <si>
    <t xml:space="preserve">GENERAL NOTE:  This worksheet will summarize remeasurement adjustments in ADIT Accounts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</si>
  <si>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NOTE 1:</t>
  </si>
  <si>
    <t xml:space="preserve">Remeasurement calculation may not equal 40% of the December 31, 2017  deferral balance because of specific ADIT items that are not subject to remeasurement. </t>
  </si>
  <si>
    <t>NOTE 2:</t>
  </si>
  <si>
    <t>NOTE 3:</t>
  </si>
  <si>
    <t>As part of the remeasurement calculation, the remeasurement ADIT balances in account 1901001 were reclassed to account 2831001 to group nonproperty utility deferrals together as one timing difference.</t>
  </si>
  <si>
    <t>NOTE 4:</t>
  </si>
  <si>
    <t>Ties to Transmission Company's Workpaper B-3, Column F, showing the intial remeasurement value determined as a result of the Tax Cut and Jobs Act of 2017.</t>
  </si>
  <si>
    <t>WORKSHEET B-3-X</t>
  </si>
  <si>
    <t>TAX REMEASUREMENT WORKSHEET</t>
  </si>
  <si>
    <t>This amount represents the FIT gross up recorded on the regulatory assets and liabilities will be reported on the first line of ADIT accounts provided for each specific change in tax rates.</t>
  </si>
  <si>
    <t xml:space="preserve">The amounts of the remeasurement shown here are as of the effective date of the change in tax rates and will remain static on this workpaper. The derivation of this amount, along with the pre-remeasurement and post-remeasurement balances of ADIT, are presented in formula wokpaper(s) B-3-X,   </t>
  </si>
  <si>
    <t>{REFERENCE OR CITE TO APPROVAL OF AMORTIZATION PERIOD FOR UNPROTECTED EXCESS OR DEFICIENT ADIT}</t>
  </si>
  <si>
    <t>In  the event of future tax rate changes, additional lines will be inserted in both the Total Company and Transmission Functional sections above as required to reflect  any new ADIT or regulatory deferral accounts that may be necessary to track that tax rate change.</t>
  </si>
  <si>
    <t>NOTE F:</t>
  </si>
  <si>
    <t>The amount of excess amortization entries shown in lines 1a through 1h are shown as a debit or credit to the ADIT account from which it is being amortized.  The total in line 3 is the offset recorded to the 410/411 account and will tie to the total company amount of excess or deficient ADIT amortization shown on line 102 of the cost of service.</t>
  </si>
  <si>
    <t>NOTE G:</t>
  </si>
  <si>
    <t>Deficient remeasurement amounts will be recorded in 410.1 as a debit (expense) to cost of service; excess remeasurement amounts will be recorded in 411.1 as a credit to cost of service.</t>
  </si>
  <si>
    <t>Utility Account (NOTE A)</t>
  </si>
  <si>
    <t xml:space="preserve">Excess / Deficient Balance at Remeasurement </t>
  </si>
  <si>
    <t>Excess / Deficient ADIT Regulatory  Offset</t>
  </si>
  <si>
    <t>Excess / Deficient ADIT in Utility Deferrals</t>
  </si>
  <si>
    <t xml:space="preserve">410/411 Excess / Deficient Amortization NOTE C/NOTE F
</t>
  </si>
  <si>
    <t>Excess/ Deficient ADIT Regulatory  Offset</t>
  </si>
  <si>
    <t>Excess /  Deficient ADIT in Utility Deferrals</t>
  </si>
  <si>
    <t>Interest on Long Term Debt - Accts 221 - 224 (256-257.33.m)</t>
  </si>
  <si>
    <t>9302004</t>
  </si>
  <si>
    <t>Research, Develop&amp;Demonstr Exp</t>
  </si>
  <si>
    <t>3091 - TAX CREDIT C/F W DEF TAX</t>
  </si>
  <si>
    <t>3501 - TAX CREDIT C/F - DEF TAX ASSET(OLD)</t>
  </si>
  <si>
    <t>6002 - PT AFUDC Debt - NORM</t>
  </si>
  <si>
    <t>6009 - PT COR - NORM</t>
  </si>
  <si>
    <t>6011 - PT CPI - NORM</t>
  </si>
  <si>
    <t>6018 - PT Method/Life - NORM</t>
  </si>
  <si>
    <t>6024 - PT Repairs UOP - NORM</t>
  </si>
  <si>
    <t>6523 - 2020 712L 481(a) Software</t>
  </si>
  <si>
    <t>7021 - PROVS POSS REV REFDS-A/L</t>
  </si>
  <si>
    <t>7027 - INSURANCE PREMIUMS ACCRUED</t>
  </si>
  <si>
    <t>7048 - ACCRD COMPANYWIDE INCENTV PLAN</t>
  </si>
  <si>
    <t>7065 - ACCRUED INTEREST-LONG-TERM - FIN 48</t>
  </si>
  <si>
    <t>7423 - REG ASSET-FERC Formula Rates Under Recvr</t>
  </si>
  <si>
    <t>9012 - State Property Mod - KY</t>
  </si>
  <si>
    <t>2010 - EXCESS ADFIT 282 - PROTECTED.</t>
  </si>
  <si>
    <t>2011 - EXCESS ADFIT 282 - UNPROTECTED.</t>
  </si>
  <si>
    <t>2012 - EXCESS ADFIT 283 - UNPROTECTED.</t>
  </si>
  <si>
    <t>Energy Storage</t>
  </si>
  <si>
    <t>Energy Storage ARO</t>
  </si>
  <si>
    <t>(k)</t>
  </si>
  <si>
    <t>(l)</t>
  </si>
  <si>
    <t>FF1, page 207 Col.(g) &amp; pg. 206 Col. (b), ln 84.14</t>
  </si>
  <si>
    <t>FF1, page 207 Col.(g) &amp; pg. 206 Col. (b), ln 84.13</t>
  </si>
  <si>
    <t>FF1, page 219, ln 27.1, Col. (b)</t>
  </si>
  <si>
    <t>Company Records (Included in total in Column (f))</t>
  </si>
  <si>
    <t>Excluded Energy Storage Plant  - Plant In Service</t>
  </si>
  <si>
    <t>Excluded Energy Storage Plant  - Accumulated Depreciation</t>
  </si>
  <si>
    <t>Energy Storage Materials &amp; Supplies</t>
  </si>
  <si>
    <t>FF1, p. 227, ln 10.1, Col. (c) &amp; (b)</t>
  </si>
  <si>
    <t>1/1/2025 Beginning  Balances</t>
  </si>
  <si>
    <t>12/31/2025 Ending Balance</t>
  </si>
  <si>
    <t>118a</t>
  </si>
  <si>
    <t>ENERGY STORAGE PLANT INCLUDED IN PJM TARIFF</t>
  </si>
  <si>
    <t>118b</t>
  </si>
  <si>
    <r>
      <t xml:space="preserve">   </t>
    </r>
    <r>
      <rPr>
        <sz val="12"/>
        <rFont val="Arial"/>
        <family val="2"/>
      </rPr>
      <t xml:space="preserve">Total Energy Storage Plant </t>
    </r>
  </si>
  <si>
    <t>(page 2, line 23a, column 3)</t>
  </si>
  <si>
    <t>118c</t>
  </si>
  <si>
    <r>
      <t xml:space="preserve">   </t>
    </r>
    <r>
      <rPr>
        <sz val="12"/>
        <rFont val="Arial"/>
        <family val="2"/>
      </rPr>
      <t>Less Energy Storage Plant excuded from PJM Tariff (Note</t>
    </r>
    <r>
      <rPr>
        <b/>
        <sz val="12"/>
        <rFont val="Arial"/>
        <family val="2"/>
      </rPr>
      <t xml:space="preserve"> AA)</t>
    </r>
  </si>
  <si>
    <t>(Worksheet A ln 42.(f))</t>
  </si>
  <si>
    <t>118d</t>
  </si>
  <si>
    <r>
      <t xml:space="preserve">   </t>
    </r>
    <r>
      <rPr>
        <sz val="12"/>
        <rFont val="Arial"/>
        <family val="2"/>
      </rPr>
      <t>Energy Storage plant included in PJM Tariff</t>
    </r>
  </si>
  <si>
    <t>(line 118b less line 118c)</t>
  </si>
  <si>
    <t>118e</t>
  </si>
  <si>
    <t>Percentage of Energy Storage plant included in PJM Tariff</t>
  </si>
  <si>
    <t>(line 118d divided by line 118b)</t>
  </si>
  <si>
    <t>ES=</t>
  </si>
  <si>
    <t>122a</t>
  </si>
  <si>
    <t xml:space="preserve">  Energy Storage</t>
  </si>
  <si>
    <t>354.22.1.b</t>
  </si>
  <si>
    <t>ES</t>
  </si>
  <si>
    <t>AA</t>
  </si>
  <si>
    <t>Removes energy storage plant not recovered in transmission rates as demonstrated on supporting workpaper or footnote to the Form 1, if applicable.</t>
  </si>
  <si>
    <t>BB</t>
  </si>
  <si>
    <t>Identified in Form 1 as being only energy storage related. The amount reported on Form 1 page 227, line 10.1 is entirely transmission-related unless specified in a footnote to the Form 1.</t>
  </si>
  <si>
    <t>23a</t>
  </si>
  <si>
    <t>23b</t>
  </si>
  <si>
    <t xml:space="preserve">  Less: Energy Storage ARO (Enter Negative) </t>
  </si>
  <si>
    <t>30a</t>
  </si>
  <si>
    <t>30b</t>
  </si>
  <si>
    <t>35a</t>
  </si>
  <si>
    <t>49a</t>
  </si>
  <si>
    <t xml:space="preserve">  Energy Storage Materials &amp; Supplies (Note BB)</t>
  </si>
  <si>
    <t>77a</t>
  </si>
  <si>
    <t>322.131.16.b</t>
  </si>
  <si>
    <t>85a</t>
  </si>
  <si>
    <t>336.9.1b</t>
  </si>
  <si>
    <t>Acc Dfrd SIT FAS 109 Flow Thru 2823002</t>
  </si>
  <si>
    <t>Accum Deferred SIT - Excess 2834002</t>
  </si>
  <si>
    <t>1650023</t>
  </si>
  <si>
    <t>Prepaid Lease</t>
  </si>
  <si>
    <t>9301009</t>
  </si>
  <si>
    <t>Fairs, Shows, and Exhibits</t>
  </si>
  <si>
    <t>Accum Deferred SIT - Excess 1904002</t>
  </si>
  <si>
    <t>2015 - DEFICIENT ADFIT 190 - PROTECTED</t>
  </si>
  <si>
    <t>2016 - DEFICIENT ADFIT 190 - UNPROTECTED</t>
  </si>
  <si>
    <t>7584 - BOOK OPERATING LEASE - LIAB</t>
  </si>
  <si>
    <t>7585 - BOOK OPERATING LEASE - ASSET</t>
  </si>
  <si>
    <t>ADFIT - FAS 109 Excess</t>
  </si>
  <si>
    <t>1904001</t>
  </si>
  <si>
    <t>1904002</t>
  </si>
  <si>
    <t>ADSIT - FAS 109 Excess (State Gross Up)</t>
  </si>
  <si>
    <t>Mix</t>
  </si>
  <si>
    <t>WVHB2026</t>
  </si>
  <si>
    <t>2834001</t>
  </si>
  <si>
    <t>ADFIT - FAS 109 Excess (Fed Gross Up)</t>
  </si>
  <si>
    <t>2834002</t>
  </si>
  <si>
    <t>1i</t>
  </si>
  <si>
    <t>1j</t>
  </si>
  <si>
    <t>1k</t>
  </si>
  <si>
    <t>1l</t>
  </si>
  <si>
    <t>1m</t>
  </si>
  <si>
    <t>Regulatory Liability - State Excess ADFIT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</si>
</sst>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00000_);_(* \(#,##0.0000000000\);_(* &quot;-&quot;_);_(@_)"/>
    <numFmt numFmtId="182" formatCode="_(* #,##0.00000_);_(* \(#,##0.00000\);_(* &quot;-&quot;??_);_(@_)"/>
    <numFmt numFmtId="183" formatCode="#,##0.0000000"/>
    <numFmt numFmtId="184" formatCode="_(* #,##0.0000000_);_(* \(#,##0.0000000\);_(* &quot;-&quot;_);_(@_)"/>
    <numFmt numFmtId="185" formatCode="#,##0\ ;\(#,##0\)"/>
    <numFmt numFmtId="186" formatCode="_(* #,##0.0000_);_(* \(#,##0.0000\);_(* &quot;-&quot;??_);_(@_)"/>
    <numFmt numFmtId="187" formatCode="0.0%"/>
    <numFmt numFmtId="188" formatCode="_(* #,##0.000_);_(* \(#,##0.000\);_(* &quot;-&quot;_);_(@_)"/>
    <numFmt numFmtId="189" formatCode="#,##0.000000"/>
    <numFmt numFmtId="190" formatCode="mmmm\ d\,\ yyyy"/>
    <numFmt numFmtId="191" formatCode="m/d/yy;@"/>
    <numFmt numFmtId="192" formatCode="0.000000%"/>
    <numFmt numFmtId="193" formatCode="0_);\(0\)"/>
    <numFmt numFmtId="194" formatCode="0.0"/>
    <numFmt numFmtId="195" formatCode="&quot;$&quot;#,##0.0000"/>
    <numFmt numFmtId="196" formatCode="_(* #,##0.00_);_(* \(#,##0.00\);_(* &quot;-&quot;_);_(@_)"/>
    <numFmt numFmtId="197" formatCode="[$-409]mmmm\-yy;@"/>
    <numFmt numFmtId="198" formatCode="mm/dd/yy"/>
    <numFmt numFmtId="199" formatCode="_(* #,##0.000_);_(* \(#,##0.000\);_(* &quot;-&quot;??_);_(@_)"/>
  </numFmts>
  <fonts count="158">
    <font>
      <sz val="10"/>
      <name val="Arial"/>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23"/>
      <name val="Helv"/>
    </font>
    <font>
      <sz val="12"/>
      <color indexed="10"/>
      <name val="Arial MT"/>
    </font>
    <font>
      <b/>
      <strike/>
      <u/>
      <sz val="10"/>
      <color indexed="10"/>
      <name val="Arial"/>
      <family val="2"/>
    </font>
    <font>
      <strike/>
      <u/>
      <sz val="10"/>
      <color indexed="10"/>
      <name val="Arial"/>
      <family val="2"/>
    </font>
    <font>
      <sz val="8"/>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0"/>
      <name val="Arial MT"/>
    </font>
    <font>
      <sz val="12"/>
      <name val="Arial Black"/>
      <family val="2"/>
    </font>
    <font>
      <sz val="10"/>
      <color indexed="12"/>
      <name val="Courier"/>
      <family val="3"/>
    </font>
    <font>
      <i/>
      <sz val="12"/>
      <name val="Arial Condensed Bold"/>
    </font>
    <font>
      <b/>
      <i/>
      <sz val="12"/>
      <name val="Arial MT"/>
    </font>
    <font>
      <b/>
      <u/>
      <sz val="12"/>
      <name val="Arial MT"/>
    </font>
    <font>
      <sz val="12"/>
      <name val="Arial"/>
      <family val="2"/>
    </font>
    <font>
      <b/>
      <strike/>
      <u/>
      <sz val="12"/>
      <color indexed="10"/>
      <name val="Arial"/>
      <family val="2"/>
    </font>
    <font>
      <sz val="12"/>
      <name val="Arial"/>
      <family val="2"/>
    </font>
    <font>
      <sz val="10"/>
      <name val="Tahoma"/>
      <family val="2"/>
    </font>
    <font>
      <sz val="8"/>
      <name val="Tahoma"/>
      <family val="2"/>
    </font>
    <font>
      <b/>
      <i/>
      <u/>
      <sz val="10"/>
      <name val="Arial"/>
      <family val="2"/>
    </font>
    <font>
      <b/>
      <sz val="12"/>
      <name val="Arial Condensed Bold"/>
    </font>
    <font>
      <sz val="10"/>
      <color indexed="17"/>
      <name val="Arial"/>
      <family val="2"/>
    </font>
    <font>
      <b/>
      <sz val="10"/>
      <color indexed="17"/>
      <name val="Arial"/>
      <family val="2"/>
    </font>
    <font>
      <i/>
      <sz val="14"/>
      <name val="Arial"/>
      <family val="2"/>
    </font>
    <font>
      <sz val="12"/>
      <color indexed="8"/>
      <name val="Helv"/>
    </font>
    <font>
      <sz val="12"/>
      <color indexed="8"/>
      <name val="Arial"/>
      <family val="2"/>
    </font>
    <font>
      <i/>
      <sz val="14"/>
      <name val="Helv"/>
    </font>
    <font>
      <sz val="10"/>
      <name val="Arial"/>
      <family val="2"/>
    </font>
    <font>
      <sz val="10"/>
      <name val="Arial"/>
      <family val="2"/>
    </font>
    <font>
      <sz val="12"/>
      <name val="Arial Narrow"/>
      <family val="2"/>
    </font>
    <font>
      <b/>
      <sz val="12"/>
      <name val="Arial Narrow"/>
      <family val="2"/>
    </font>
    <font>
      <b/>
      <u/>
      <sz val="12"/>
      <name val="Arial Narrow"/>
      <family val="2"/>
    </font>
    <font>
      <sz val="11"/>
      <color indexed="12"/>
      <name val="Arial"/>
      <family val="2"/>
    </font>
    <font>
      <u val="singleAccounting"/>
      <sz val="11"/>
      <name val="Arial"/>
      <family val="2"/>
    </font>
    <font>
      <b/>
      <u/>
      <sz val="11"/>
      <name val="Arial"/>
      <family val="2"/>
    </font>
    <font>
      <sz val="10"/>
      <name val="Arial"/>
      <family val="2"/>
    </font>
    <font>
      <sz val="10"/>
      <name val="Arial"/>
      <family val="2"/>
    </font>
    <font>
      <b/>
      <i/>
      <sz val="12"/>
      <name val="Times New Roman"/>
      <family val="1"/>
    </font>
    <font>
      <strike/>
      <sz val="12"/>
      <color indexed="10"/>
      <name val="Arial"/>
      <family val="2"/>
    </font>
    <font>
      <sz val="10"/>
      <color indexed="40"/>
      <name val="Arial"/>
      <family val="2"/>
    </font>
    <font>
      <sz val="10"/>
      <name val="Arial"/>
      <family val="2"/>
    </font>
    <font>
      <sz val="10"/>
      <color indexed="40"/>
      <name val="Times New Roman"/>
      <family val="1"/>
    </font>
    <font>
      <sz val="13"/>
      <name val="Times New Roman"/>
      <family val="1"/>
    </font>
    <font>
      <sz val="10"/>
      <color indexed="12"/>
      <name val="Times New Roman"/>
      <family val="1"/>
    </font>
    <font>
      <sz val="10"/>
      <name val="Arial"/>
      <family val="2"/>
    </font>
    <font>
      <b/>
      <i/>
      <sz val="12"/>
      <name val="Cambria"/>
      <family val="1"/>
    </font>
    <font>
      <sz val="10"/>
      <name val="Cambria"/>
      <family val="1"/>
    </font>
    <font>
      <sz val="12"/>
      <name val="Cambria"/>
      <family val="1"/>
    </font>
    <font>
      <b/>
      <sz val="12"/>
      <name val="Cambria"/>
      <family val="1"/>
    </font>
    <font>
      <b/>
      <sz val="10"/>
      <name val="Cambria"/>
      <family val="1"/>
    </font>
    <font>
      <b/>
      <u/>
      <sz val="12"/>
      <name val="Cambria"/>
      <family val="1"/>
    </font>
    <font>
      <sz val="12"/>
      <color indexed="12"/>
      <name val="Cambria"/>
      <family val="1"/>
    </font>
    <font>
      <i/>
      <sz val="10"/>
      <name val="Cambria"/>
      <family val="1"/>
    </font>
    <font>
      <b/>
      <sz val="18"/>
      <name val="Arial Narrow"/>
      <family val="2"/>
    </font>
    <font>
      <sz val="9"/>
      <color indexed="10"/>
      <name val="Arial"/>
      <family val="2"/>
    </font>
    <font>
      <sz val="11"/>
      <color theme="1"/>
      <name val="Calibri"/>
      <family val="2"/>
      <scheme val="minor"/>
    </font>
    <font>
      <sz val="11"/>
      <color theme="1"/>
      <name val="Calibri"/>
      <family val="2"/>
    </font>
    <font>
      <i/>
      <sz val="12"/>
      <color rgb="FFFF0000"/>
      <name val="Arial"/>
      <family val="2"/>
    </font>
    <font>
      <b/>
      <sz val="10"/>
      <color rgb="FFFF0000"/>
      <name val="Arial"/>
      <family val="2"/>
    </font>
    <font>
      <sz val="10"/>
      <color rgb="FF0000FF"/>
      <name val="Arial"/>
      <family val="2"/>
    </font>
    <font>
      <sz val="11"/>
      <color theme="1"/>
      <name val="Arial"/>
      <family val="2"/>
    </font>
    <font>
      <sz val="10"/>
      <color rgb="FFFF0000"/>
      <name val="Arial"/>
      <family val="2"/>
    </font>
    <font>
      <b/>
      <sz val="10"/>
      <color rgb="FF0000FF"/>
      <name val="Arial"/>
      <family val="2"/>
    </font>
    <font>
      <sz val="12"/>
      <color rgb="FFFF000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23"/>
        <bgColor indexed="64"/>
      </patternFill>
    </fill>
    <fill>
      <patternFill patternType="solid">
        <fgColor indexed="55"/>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0" tint="-0.24991607409894101"/>
        <bgColor indexed="64"/>
      </patternFill>
    </fill>
    <fill>
      <patternFill patternType="darkUp">
        <bgColor theme="0" tint="-0.14990691854609822"/>
      </patternFill>
    </fill>
  </fills>
  <borders count="49">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8"/>
      </top>
      <bottom/>
      <diagonal/>
    </border>
    <border>
      <left/>
      <right/>
      <top/>
      <bottom style="double">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41">
    <xf numFmtId="0" fontId="0" fillId="0" borderId="0"/>
    <xf numFmtId="0" fontId="36" fillId="2"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172" fontId="39" fillId="0" borderId="0" applyFill="0"/>
    <xf numFmtId="172" fontId="39" fillId="0" borderId="0">
      <alignment horizontal="center"/>
    </xf>
    <xf numFmtId="0" fontId="39" fillId="0" borderId="0" applyFill="0">
      <alignment horizontal="center"/>
    </xf>
    <xf numFmtId="172" fontId="5" fillId="0" borderId="1" applyFill="0"/>
    <xf numFmtId="0" fontId="13" fillId="0" borderId="0" applyFont="0" applyAlignment="0"/>
    <xf numFmtId="0" fontId="40" fillId="0" borderId="0" applyFill="0">
      <alignment vertical="top"/>
    </xf>
    <xf numFmtId="0" fontId="5" fillId="0" borderId="0" applyFill="0">
      <alignment horizontal="left" vertical="top"/>
    </xf>
    <xf numFmtId="172" fontId="7" fillId="0" borderId="2" applyFill="0"/>
    <xf numFmtId="0" fontId="13" fillId="0" borderId="0" applyNumberFormat="0" applyFont="0" applyAlignment="0"/>
    <xf numFmtId="0" fontId="40" fillId="0" borderId="0" applyFill="0">
      <alignment wrapText="1"/>
    </xf>
    <xf numFmtId="0" fontId="5" fillId="0" borderId="0" applyFill="0">
      <alignment horizontal="left" vertical="top" wrapText="1"/>
    </xf>
    <xf numFmtId="172" fontId="41" fillId="0" borderId="0" applyFill="0"/>
    <xf numFmtId="0" fontId="42" fillId="0" borderId="0" applyNumberFormat="0" applyFont="0" applyAlignment="0">
      <alignment horizontal="center"/>
    </xf>
    <xf numFmtId="0" fontId="43" fillId="0" borderId="0" applyFill="0">
      <alignment vertical="top" wrapText="1"/>
    </xf>
    <xf numFmtId="0" fontId="7" fillId="0" borderId="0" applyFill="0">
      <alignment horizontal="left" vertical="top" wrapText="1"/>
    </xf>
    <xf numFmtId="172" fontId="13" fillId="0" borderId="0" applyFill="0"/>
    <xf numFmtId="0" fontId="42" fillId="0" borderId="0" applyNumberFormat="0" applyFont="0" applyAlignment="0">
      <alignment horizontal="center"/>
    </xf>
    <xf numFmtId="0" fontId="29" fillId="0" borderId="0" applyFill="0">
      <alignment vertical="center" wrapText="1"/>
    </xf>
    <xf numFmtId="0" fontId="6" fillId="0" borderId="0">
      <alignment horizontal="left" vertical="center" wrapText="1"/>
    </xf>
    <xf numFmtId="172" fontId="25" fillId="0" borderId="0" applyFill="0"/>
    <xf numFmtId="0" fontId="42" fillId="0" borderId="0" applyNumberFormat="0" applyFont="0" applyAlignment="0">
      <alignment horizontal="center"/>
    </xf>
    <xf numFmtId="0" fontId="17" fillId="0" borderId="0" applyFill="0">
      <alignment horizontal="center" vertical="center" wrapText="1"/>
    </xf>
    <xf numFmtId="0" fontId="13" fillId="0" borderId="0" applyFill="0">
      <alignment horizontal="center" vertical="center" wrapText="1"/>
    </xf>
    <xf numFmtId="172" fontId="44" fillId="0" borderId="0" applyFill="0"/>
    <xf numFmtId="0" fontId="42" fillId="0" borderId="0" applyNumberFormat="0" applyFont="0" applyAlignment="0">
      <alignment horizontal="center"/>
    </xf>
    <xf numFmtId="0" fontId="45" fillId="0" borderId="0" applyFill="0">
      <alignment horizontal="center" vertical="center" wrapText="1"/>
    </xf>
    <xf numFmtId="0" fontId="46" fillId="0" borderId="0" applyFill="0">
      <alignment horizontal="center" vertical="center" wrapText="1"/>
    </xf>
    <xf numFmtId="172" fontId="47" fillId="0" borderId="0" applyFill="0"/>
    <xf numFmtId="0" fontId="42" fillId="0" borderId="0" applyNumberFormat="0" applyFont="0" applyAlignment="0">
      <alignment horizontal="center"/>
    </xf>
    <xf numFmtId="0" fontId="48" fillId="0" borderId="0">
      <alignment horizontal="center" wrapText="1"/>
    </xf>
    <xf numFmtId="0" fontId="44" fillId="0" borderId="0" applyFill="0">
      <alignment horizontal="center" wrapText="1"/>
    </xf>
    <xf numFmtId="0" fontId="49" fillId="20" borderId="3" applyNumberFormat="0" applyAlignment="0" applyProtection="0"/>
    <xf numFmtId="0" fontId="49" fillId="20" borderId="3" applyNumberFormat="0" applyAlignment="0" applyProtection="0"/>
    <xf numFmtId="0" fontId="50" fillId="21" borderId="4" applyNumberFormat="0" applyAlignment="0" applyProtection="0"/>
    <xf numFmtId="0" fontId="50" fillId="21" borderId="4" applyNumberFormat="0" applyAlignment="0" applyProtection="0"/>
    <xf numFmtId="43" fontId="3" fillId="0" borderId="0" applyFont="0" applyFill="0" applyBorder="0" applyAlignment="0" applyProtection="0"/>
    <xf numFmtId="43" fontId="14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2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29" fillId="0" borderId="0" applyFont="0" applyFill="0" applyBorder="0" applyAlignment="0" applyProtection="0"/>
    <xf numFmtId="43" fontId="13" fillId="0" borderId="0" applyFont="0" applyFill="0" applyBorder="0" applyAlignment="0" applyProtection="0"/>
    <xf numFmtId="43" fontId="149" fillId="0" borderId="0" applyFont="0" applyFill="0" applyBorder="0" applyAlignment="0" applyProtection="0"/>
    <xf numFmtId="43" fontId="13" fillId="0" borderId="0" applyFont="0" applyFill="0" applyBorder="0" applyAlignment="0" applyProtection="0"/>
    <xf numFmtId="43" fontId="149" fillId="0" borderId="0" applyFont="0" applyFill="0" applyBorder="0" applyAlignment="0" applyProtection="0"/>
    <xf numFmtId="43" fontId="13" fillId="0" borderId="0" applyFont="0" applyFill="0" applyBorder="0" applyAlignment="0" applyProtection="0"/>
    <xf numFmtId="43" fontId="134" fillId="0" borderId="0" applyFont="0" applyFill="0" applyBorder="0" applyAlignment="0" applyProtection="0"/>
    <xf numFmtId="43" fontId="149" fillId="0" borderId="0" applyFont="0" applyFill="0" applyBorder="0" applyAlignment="0" applyProtection="0"/>
    <xf numFmtId="43" fontId="138" fillId="0" borderId="0" applyFont="0" applyFill="0" applyBorder="0" applyAlignment="0" applyProtection="0"/>
    <xf numFmtId="43" fontId="149" fillId="0" borderId="0" applyFont="0" applyFill="0" applyBorder="0" applyAlignment="0" applyProtection="0"/>
    <xf numFmtId="43" fontId="3" fillId="0" borderId="0" applyFont="0" applyFill="0" applyBorder="0" applyAlignment="0" applyProtection="0"/>
    <xf numFmtId="43" fontId="130" fillId="0" borderId="0" applyFont="0" applyFill="0" applyBorder="0" applyAlignment="0" applyProtection="0"/>
    <xf numFmtId="3" fontId="13" fillId="0" borderId="0" applyFont="0" applyFill="0" applyBorder="0" applyAlignment="0" applyProtection="0"/>
    <xf numFmtId="44" fontId="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9"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9" fillId="0" borderId="0" applyFont="0" applyFill="0" applyBorder="0" applyAlignment="0" applyProtection="0"/>
    <xf numFmtId="44" fontId="13" fillId="0" borderId="0" applyFont="0" applyFill="0" applyBorder="0" applyAlignment="0" applyProtection="0"/>
    <xf numFmtId="44" fontId="149" fillId="0" borderId="0" applyFont="0" applyFill="0" applyBorder="0" applyAlignment="0" applyProtection="0"/>
    <xf numFmtId="44" fontId="13" fillId="0" borderId="0" applyFont="0" applyFill="0" applyBorder="0" applyAlignment="0" applyProtection="0"/>
    <xf numFmtId="44" fontId="149" fillId="0" borderId="0" applyFont="0" applyFill="0" applyBorder="0" applyAlignment="0" applyProtection="0"/>
    <xf numFmtId="5" fontId="13" fillId="0" borderId="0" applyFont="0" applyFill="0" applyBorder="0" applyAlignment="0" applyProtection="0"/>
    <xf numFmtId="14" fontId="13" fillId="0" borderId="0" applyFon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2" fontId="13"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53" fillId="0" borderId="5"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6"/>
    <xf numFmtId="0" fontId="55" fillId="0" borderId="0"/>
    <xf numFmtId="0" fontId="56" fillId="7" borderId="3" applyNumberFormat="0" applyAlignment="0" applyProtection="0"/>
    <xf numFmtId="0" fontId="56" fillId="7" borderId="3" applyNumberFormat="0" applyAlignment="0" applyProtection="0"/>
    <xf numFmtId="0" fontId="57" fillId="0" borderId="7" applyNumberFormat="0" applyFill="0" applyAlignment="0" applyProtection="0"/>
    <xf numFmtId="0" fontId="57" fillId="0" borderId="7" applyNumberFormat="0" applyFill="0" applyAlignment="0" applyProtection="0"/>
    <xf numFmtId="0" fontId="58" fillId="22" borderId="0" applyNumberFormat="0" applyBorder="0" applyAlignment="0" applyProtection="0"/>
    <xf numFmtId="0" fontId="58" fillId="22" borderId="0" applyNumberFormat="0" applyBorder="0" applyAlignment="0" applyProtection="0"/>
    <xf numFmtId="3" fontId="129" fillId="0" borderId="0"/>
    <xf numFmtId="3" fontId="13" fillId="0" borderId="0"/>
    <xf numFmtId="3" fontId="13" fillId="0" borderId="0"/>
    <xf numFmtId="3" fontId="13" fillId="0" borderId="0"/>
    <xf numFmtId="0" fontId="129" fillId="0" borderId="0"/>
    <xf numFmtId="0" fontId="13" fillId="0" borderId="0"/>
    <xf numFmtId="3" fontId="13" fillId="0" borderId="0"/>
    <xf numFmtId="3" fontId="13" fillId="0" borderId="0"/>
    <xf numFmtId="3" fontId="13" fillId="0" borderId="0"/>
    <xf numFmtId="3" fontId="13" fillId="0" borderId="0"/>
    <xf numFmtId="0" fontId="149" fillId="0" borderId="0"/>
    <xf numFmtId="3" fontId="13" fillId="0" borderId="0"/>
    <xf numFmtId="3" fontId="13" fillId="0" borderId="0"/>
    <xf numFmtId="3" fontId="13" fillId="0" borderId="0"/>
    <xf numFmtId="3" fontId="13" fillId="0" borderId="0"/>
    <xf numFmtId="0"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0" fontId="13" fillId="0" borderId="0"/>
    <xf numFmtId="0" fontId="13" fillId="0" borderId="0"/>
    <xf numFmtId="0" fontId="150" fillId="0" borderId="0"/>
    <xf numFmtId="0" fontId="13" fillId="0" borderId="0"/>
    <xf numFmtId="0" fontId="13" fillId="0" borderId="0"/>
    <xf numFmtId="0" fontId="150" fillId="0" borderId="0"/>
    <xf numFmtId="0" fontId="13" fillId="0" borderId="0"/>
    <xf numFmtId="0"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0" fontId="13" fillId="0" borderId="0"/>
    <xf numFmtId="0" fontId="13" fillId="0" borderId="0"/>
    <xf numFmtId="3" fontId="13" fillId="0" borderId="0"/>
    <xf numFmtId="0" fontId="13" fillId="0" borderId="0"/>
    <xf numFmtId="0" fontId="149"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3" fontId="13" fillId="0" borderId="0"/>
    <xf numFmtId="3" fontId="13" fillId="0" borderId="0"/>
    <xf numFmtId="0" fontId="129" fillId="0" borderId="0"/>
    <xf numFmtId="0" fontId="13" fillId="0" borderId="0"/>
    <xf numFmtId="0" fontId="12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9" fillId="0" borderId="0"/>
    <xf numFmtId="0" fontId="129" fillId="0" borderId="0"/>
    <xf numFmtId="0" fontId="13" fillId="0" borderId="0"/>
    <xf numFmtId="0" fontId="149" fillId="0" borderId="0"/>
    <xf numFmtId="0" fontId="129" fillId="0" borderId="0"/>
    <xf numFmtId="0" fontId="13" fillId="0" borderId="0"/>
    <xf numFmtId="0" fontId="149" fillId="0" borderId="0"/>
    <xf numFmtId="0" fontId="129" fillId="0" borderId="0"/>
    <xf numFmtId="0" fontId="13" fillId="0" borderId="0"/>
    <xf numFmtId="0" fontId="149" fillId="0" borderId="0"/>
    <xf numFmtId="0" fontId="4" fillId="0" borderId="0" applyProtection="0"/>
    <xf numFmtId="0" fontId="3" fillId="0" borderId="0"/>
    <xf numFmtId="0" fontId="13" fillId="0" borderId="0"/>
    <xf numFmtId="0" fontId="13" fillId="0" borderId="0"/>
    <xf numFmtId="0" fontId="13" fillId="0" borderId="0"/>
    <xf numFmtId="172" fontId="4" fillId="0" borderId="0" applyProtection="0"/>
    <xf numFmtId="0" fontId="3" fillId="0" borderId="0"/>
    <xf numFmtId="172" fontId="4" fillId="0" borderId="0" applyProtection="0"/>
    <xf numFmtId="172" fontId="4" fillId="0" borderId="0" applyProtection="0"/>
    <xf numFmtId="0" fontId="71" fillId="0" borderId="0"/>
    <xf numFmtId="0" fontId="13" fillId="0" borderId="0"/>
    <xf numFmtId="0" fontId="4" fillId="0" borderId="0"/>
    <xf numFmtId="0" fontId="13" fillId="0" borderId="0"/>
    <xf numFmtId="0" fontId="3" fillId="0" borderId="0"/>
    <xf numFmtId="0" fontId="130" fillId="0" borderId="0"/>
    <xf numFmtId="0" fontId="111" fillId="0" borderId="0"/>
    <xf numFmtId="0" fontId="4" fillId="23" borderId="8" applyNumberFormat="0" applyFont="0" applyAlignment="0" applyProtection="0"/>
    <xf numFmtId="0" fontId="4" fillId="23" borderId="8" applyNumberFormat="0" applyFont="0" applyAlignment="0" applyProtection="0"/>
    <xf numFmtId="0" fontId="59" fillId="20" borderId="9" applyNumberFormat="0" applyAlignment="0" applyProtection="0"/>
    <xf numFmtId="0" fontId="59" fillId="20" borderId="9" applyNumberFormat="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9" fillId="0" borderId="0" applyFont="0" applyFill="0" applyBorder="0" applyAlignment="0" applyProtection="0"/>
    <xf numFmtId="9" fontId="13" fillId="0" borderId="0" applyFont="0" applyFill="0" applyBorder="0" applyAlignment="0" applyProtection="0"/>
    <xf numFmtId="9" fontId="149" fillId="0" borderId="0" applyFont="0" applyFill="0" applyBorder="0" applyAlignment="0" applyProtection="0"/>
    <xf numFmtId="9" fontId="13" fillId="0" borderId="0" applyFont="0" applyFill="0" applyBorder="0" applyAlignment="0" applyProtection="0"/>
    <xf numFmtId="9" fontId="149" fillId="0" borderId="0" applyFont="0" applyFill="0" applyBorder="0" applyAlignment="0" applyProtection="0"/>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3" fontId="13" fillId="0" borderId="0">
      <alignment horizontal="left" vertical="top"/>
    </xf>
    <xf numFmtId="0" fontId="35" fillId="0" borderId="6">
      <alignment horizontal="center"/>
    </xf>
    <xf numFmtId="3" fontId="34" fillId="0" borderId="0" applyFont="0" applyFill="0" applyBorder="0" applyAlignment="0" applyProtection="0"/>
    <xf numFmtId="0" fontId="34" fillId="24" borderId="0" applyNumberFormat="0" applyFont="0" applyBorder="0" applyAlignment="0" applyProtection="0"/>
    <xf numFmtId="3" fontId="13" fillId="0" borderId="0">
      <alignment horizontal="right" vertical="top"/>
    </xf>
    <xf numFmtId="41" fontId="6" fillId="25" borderId="10" applyFill="0"/>
    <xf numFmtId="0" fontId="60" fillId="0" borderId="0">
      <alignment horizontal="left" indent="7"/>
    </xf>
    <xf numFmtId="41" fontId="6" fillId="0" borderId="10" applyFill="0">
      <alignment horizontal="left" indent="2"/>
    </xf>
    <xf numFmtId="172" fontId="26" fillId="0" borderId="11" applyFill="0">
      <alignment horizontal="right"/>
    </xf>
    <xf numFmtId="0" fontId="10" fillId="0" borderId="12" applyNumberFormat="0" applyFont="0" applyBorder="0">
      <alignment horizontal="right"/>
    </xf>
    <xf numFmtId="0" fontId="61" fillId="0" borderId="0" applyFill="0"/>
    <xf numFmtId="0" fontId="7" fillId="0" borderId="0" applyFill="0"/>
    <xf numFmtId="4" fontId="26" fillId="0" borderId="11" applyFill="0"/>
    <xf numFmtId="0" fontId="13" fillId="0" borderId="0" applyNumberFormat="0" applyFont="0" applyBorder="0" applyAlignment="0"/>
    <xf numFmtId="0" fontId="43" fillId="0" borderId="0" applyFill="0">
      <alignment horizontal="left" indent="1"/>
    </xf>
    <xf numFmtId="0" fontId="62" fillId="0" borderId="0" applyFill="0">
      <alignment horizontal="left" indent="1"/>
    </xf>
    <xf numFmtId="4" fontId="25" fillId="0" borderId="0" applyFill="0"/>
    <xf numFmtId="0" fontId="13" fillId="0" borderId="0" applyNumberFormat="0" applyFont="0" applyFill="0" applyBorder="0" applyAlignment="0"/>
    <xf numFmtId="0" fontId="43" fillId="0" borderId="0" applyFill="0">
      <alignment horizontal="left" indent="2"/>
    </xf>
    <xf numFmtId="0" fontId="7" fillId="0" borderId="0" applyFill="0">
      <alignment horizontal="left" indent="2"/>
    </xf>
    <xf numFmtId="4" fontId="25" fillId="0" borderId="0" applyFill="0"/>
    <xf numFmtId="0" fontId="13" fillId="0" borderId="0" applyNumberFormat="0" applyFont="0" applyBorder="0" applyAlignment="0"/>
    <xf numFmtId="0" fontId="63" fillId="0" borderId="0">
      <alignment horizontal="left" indent="3"/>
    </xf>
    <xf numFmtId="0" fontId="64" fillId="0" borderId="0" applyFill="0">
      <alignment horizontal="left" indent="3"/>
    </xf>
    <xf numFmtId="4" fontId="25" fillId="0" borderId="0" applyFill="0"/>
    <xf numFmtId="0" fontId="13" fillId="0" borderId="0" applyNumberFormat="0" applyFont="0" applyBorder="0" applyAlignment="0"/>
    <xf numFmtId="0" fontId="17" fillId="0" borderId="0">
      <alignment horizontal="left" indent="4"/>
    </xf>
    <xf numFmtId="0" fontId="13" fillId="0" borderId="0" applyFill="0">
      <alignment horizontal="left" indent="4"/>
    </xf>
    <xf numFmtId="4" fontId="44" fillId="0" borderId="0" applyFill="0"/>
    <xf numFmtId="0" fontId="13" fillId="0" borderId="0" applyNumberFormat="0" applyFont="0" applyBorder="0" applyAlignment="0"/>
    <xf numFmtId="0" fontId="45" fillId="0" borderId="0">
      <alignment horizontal="left" indent="5"/>
    </xf>
    <xf numFmtId="0" fontId="46" fillId="0" borderId="0" applyFill="0">
      <alignment horizontal="left" indent="5"/>
    </xf>
    <xf numFmtId="4" fontId="47" fillId="0" borderId="0" applyFill="0"/>
    <xf numFmtId="0" fontId="13" fillId="0" borderId="0" applyNumberFormat="0" applyFont="0" applyFill="0" applyBorder="0" applyAlignment="0"/>
    <xf numFmtId="0" fontId="48" fillId="0" borderId="0" applyFill="0">
      <alignment horizontal="left" indent="6"/>
    </xf>
    <xf numFmtId="0" fontId="44" fillId="0" borderId="0" applyFill="0">
      <alignment horizontal="left" indent="6"/>
    </xf>
    <xf numFmtId="0" fontId="65" fillId="0" borderId="0" applyNumberFormat="0" applyFill="0" applyBorder="0" applyAlignment="0" applyProtection="0"/>
    <xf numFmtId="0" fontId="65" fillId="0" borderId="0" applyNumberForma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3" fillId="0" borderId="0"/>
    <xf numFmtId="0" fontId="3"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1229">
    <xf numFmtId="0" fontId="0" fillId="0" borderId="0" xfId="0"/>
    <xf numFmtId="0" fontId="0" fillId="0" borderId="0" xfId="0" applyAlignment="1">
      <alignment horizontal="center"/>
    </xf>
    <xf numFmtId="3" fontId="6" fillId="0" borderId="0" xfId="0" applyNumberFormat="1" applyFont="1" applyAlignment="1">
      <alignment horizontal="center"/>
    </xf>
    <xf numFmtId="0" fontId="13" fillId="0" borderId="0" xfId="0" applyFont="1"/>
    <xf numFmtId="0" fontId="10" fillId="0" borderId="0" xfId="250" applyFont="1" applyAlignment="1">
      <alignment horizontal="center"/>
    </xf>
    <xf numFmtId="0" fontId="16" fillId="0" borderId="0" xfId="250" applyFont="1"/>
    <xf numFmtId="0" fontId="5" fillId="0" borderId="0" xfId="0" applyFont="1"/>
    <xf numFmtId="0" fontId="13" fillId="0" borderId="0" xfId="250" applyFont="1"/>
    <xf numFmtId="0" fontId="16" fillId="0" borderId="0" xfId="250" applyFont="1" applyAlignment="1">
      <alignment horizontal="left"/>
    </xf>
    <xf numFmtId="3" fontId="13" fillId="0" borderId="0" xfId="0" applyNumberFormat="1" applyFont="1"/>
    <xf numFmtId="0" fontId="6" fillId="0" borderId="0" xfId="250" applyFont="1" applyAlignment="1">
      <alignment horizontal="right"/>
    </xf>
    <xf numFmtId="40" fontId="13" fillId="0" borderId="0" xfId="0" applyNumberFormat="1" applyFont="1"/>
    <xf numFmtId="0" fontId="6" fillId="0" borderId="0" xfId="250" applyFont="1"/>
    <xf numFmtId="0" fontId="10" fillId="0" borderId="0" xfId="250" applyFont="1" applyAlignment="1">
      <alignment horizontal="left"/>
    </xf>
    <xf numFmtId="0" fontId="13" fillId="0" borderId="0" xfId="250" applyFont="1" applyAlignment="1">
      <alignment horizontal="left"/>
    </xf>
    <xf numFmtId="0" fontId="7" fillId="0" borderId="0" xfId="250" applyFont="1" applyAlignment="1">
      <alignment horizontal="center"/>
    </xf>
    <xf numFmtId="0" fontId="27" fillId="0" borderId="0" xfId="0" applyFont="1"/>
    <xf numFmtId="0" fontId="6" fillId="0" borderId="0" xfId="0" applyFont="1" applyAlignment="1">
      <alignment horizontal="center"/>
    </xf>
    <xf numFmtId="3" fontId="20" fillId="0" borderId="0" xfId="0" applyNumberFormat="1" applyFont="1"/>
    <xf numFmtId="41" fontId="28" fillId="0" borderId="0" xfId="250" applyNumberFormat="1" applyFont="1"/>
    <xf numFmtId="0" fontId="29" fillId="0" borderId="0" xfId="250" applyFont="1" applyAlignment="1">
      <alignment horizontal="left"/>
    </xf>
    <xf numFmtId="0" fontId="27" fillId="0" borderId="0" xfId="250" applyFont="1"/>
    <xf numFmtId="41" fontId="27" fillId="0" borderId="0" xfId="250" applyNumberFormat="1" applyFont="1"/>
    <xf numFmtId="41" fontId="27" fillId="0" borderId="0" xfId="250" applyNumberFormat="1" applyFont="1" applyAlignment="1">
      <alignment vertical="top"/>
    </xf>
    <xf numFmtId="181" fontId="27" fillId="0" borderId="0" xfId="250" applyNumberFormat="1" applyFont="1"/>
    <xf numFmtId="0" fontId="27" fillId="0" borderId="0" xfId="250" applyFont="1" applyAlignment="1">
      <alignment horizontal="left"/>
    </xf>
    <xf numFmtId="0" fontId="30" fillId="0" borderId="0" xfId="250" applyFont="1"/>
    <xf numFmtId="0" fontId="27" fillId="0" borderId="0" xfId="250" applyFont="1" applyAlignment="1">
      <alignment horizontal="center"/>
    </xf>
    <xf numFmtId="0" fontId="11" fillId="0" borderId="0" xfId="250" applyFont="1" applyAlignment="1">
      <alignment horizontal="center"/>
    </xf>
    <xf numFmtId="173" fontId="27" fillId="0" borderId="0" xfId="250" applyNumberFormat="1" applyFont="1"/>
    <xf numFmtId="173" fontId="27" fillId="0" borderId="0" xfId="250" applyNumberFormat="1" applyFont="1" applyAlignment="1">
      <alignment vertical="top"/>
    </xf>
    <xf numFmtId="41" fontId="27" fillId="0" borderId="13" xfId="250" applyNumberFormat="1" applyFont="1" applyBorder="1"/>
    <xf numFmtId="173" fontId="7" fillId="0" borderId="0" xfId="86" applyNumberFormat="1" applyFont="1" applyFill="1" applyAlignment="1">
      <alignment horizontal="center"/>
    </xf>
    <xf numFmtId="0" fontId="6" fillId="0" borderId="0" xfId="250" applyFont="1" applyAlignment="1">
      <alignment horizontal="center"/>
    </xf>
    <xf numFmtId="0" fontId="31" fillId="0" borderId="0" xfId="250" applyFont="1"/>
    <xf numFmtId="41" fontId="6" fillId="0" borderId="13" xfId="250" applyNumberFormat="1" applyFont="1" applyBorder="1"/>
    <xf numFmtId="38" fontId="13" fillId="0" borderId="0" xfId="0" applyNumberFormat="1" applyFont="1"/>
    <xf numFmtId="40" fontId="27" fillId="0" borderId="0" xfId="250" applyNumberFormat="1" applyFont="1"/>
    <xf numFmtId="43" fontId="6" fillId="0" borderId="0" xfId="250" applyNumberFormat="1" applyFont="1"/>
    <xf numFmtId="3" fontId="6" fillId="0" borderId="0" xfId="0" applyNumberFormat="1" applyFont="1"/>
    <xf numFmtId="41" fontId="28" fillId="25" borderId="0" xfId="250" applyNumberFormat="1" applyFont="1" applyFill="1"/>
    <xf numFmtId="0" fontId="33" fillId="0" borderId="0" xfId="0" applyFont="1"/>
    <xf numFmtId="0" fontId="20" fillId="0" borderId="0" xfId="250" applyFont="1"/>
    <xf numFmtId="0" fontId="13" fillId="0" borderId="0" xfId="250" applyFont="1" applyAlignment="1">
      <alignment horizontal="center"/>
    </xf>
    <xf numFmtId="0" fontId="6" fillId="0" borderId="0" xfId="208" applyFont="1" applyAlignment="1">
      <alignment horizontal="center"/>
    </xf>
    <xf numFmtId="49" fontId="6" fillId="0" borderId="0" xfId="250" applyNumberFormat="1" applyFont="1" applyAlignment="1">
      <alignment horizontal="center"/>
    </xf>
    <xf numFmtId="3" fontId="11" fillId="0" borderId="0" xfId="0" applyNumberFormat="1" applyFont="1" applyAlignment="1">
      <alignment horizontal="center"/>
    </xf>
    <xf numFmtId="0" fontId="13" fillId="0" borderId="0" xfId="0" applyFont="1" applyAlignment="1">
      <alignment horizontal="center"/>
    </xf>
    <xf numFmtId="0" fontId="72" fillId="0" borderId="0" xfId="258" applyFont="1"/>
    <xf numFmtId="185" fontId="19" fillId="0" borderId="0" xfId="258" applyNumberFormat="1" applyFont="1" applyAlignment="1">
      <alignment horizontal="center"/>
    </xf>
    <xf numFmtId="0" fontId="13" fillId="0" borderId="0" xfId="258" applyFont="1"/>
    <xf numFmtId="0" fontId="19" fillId="0" borderId="0" xfId="258" applyFont="1"/>
    <xf numFmtId="0" fontId="19" fillId="0" borderId="0" xfId="258" applyFont="1" applyAlignment="1">
      <alignment horizontal="center"/>
    </xf>
    <xf numFmtId="0" fontId="74" fillId="0" borderId="0" xfId="258" applyFont="1"/>
    <xf numFmtId="0" fontId="75" fillId="0" borderId="0" xfId="258" applyFont="1"/>
    <xf numFmtId="185" fontId="13" fillId="0" borderId="0" xfId="258" applyNumberFormat="1" applyFont="1"/>
    <xf numFmtId="0" fontId="76" fillId="0" borderId="0" xfId="255" applyFont="1" applyAlignment="1">
      <alignment horizontal="center"/>
    </xf>
    <xf numFmtId="0" fontId="76" fillId="0" borderId="0" xfId="255" applyFont="1" applyAlignment="1">
      <alignment horizontal="left" indent="2"/>
    </xf>
    <xf numFmtId="39" fontId="76" fillId="0" borderId="0" xfId="255" applyNumberFormat="1" applyFont="1"/>
    <xf numFmtId="0" fontId="13" fillId="0" borderId="0" xfId="258" applyFont="1" applyAlignment="1">
      <alignment horizontal="center"/>
    </xf>
    <xf numFmtId="173" fontId="72" fillId="0" borderId="14" xfId="86" applyNumberFormat="1" applyFont="1" applyBorder="1"/>
    <xf numFmtId="0" fontId="72" fillId="0" borderId="0" xfId="0" applyFont="1"/>
    <xf numFmtId="173" fontId="0" fillId="0" borderId="0" xfId="0" applyNumberFormat="1"/>
    <xf numFmtId="0" fontId="81" fillId="0" borderId="0" xfId="250" applyFont="1" applyAlignment="1">
      <alignment horizontal="left"/>
    </xf>
    <xf numFmtId="0" fontId="5" fillId="0" borderId="0" xfId="0" applyFont="1" applyAlignment="1">
      <alignment horizontal="center"/>
    </xf>
    <xf numFmtId="0" fontId="5" fillId="0" borderId="0" xfId="208" applyFont="1" applyAlignment="1">
      <alignment horizontal="center"/>
    </xf>
    <xf numFmtId="173" fontId="72" fillId="0" borderId="0" xfId="258" applyNumberFormat="1" applyFont="1"/>
    <xf numFmtId="3" fontId="5" fillId="0" borderId="0" xfId="0" applyNumberFormat="1" applyFont="1" applyAlignment="1">
      <alignment horizontal="center"/>
    </xf>
    <xf numFmtId="0" fontId="13" fillId="0" borderId="0" xfId="0" applyFont="1" applyAlignment="1">
      <alignment horizontal="centerContinuous"/>
    </xf>
    <xf numFmtId="0" fontId="18" fillId="0" borderId="0" xfId="0" applyFont="1" applyAlignment="1">
      <alignment horizontal="center"/>
    </xf>
    <xf numFmtId="0" fontId="10" fillId="0" borderId="0" xfId="0" applyFont="1" applyAlignment="1">
      <alignment horizontal="center"/>
    </xf>
    <xf numFmtId="0" fontId="0" fillId="0" borderId="0" xfId="0" applyAlignment="1">
      <alignment horizontal="left"/>
    </xf>
    <xf numFmtId="6" fontId="0" fillId="0" borderId="0" xfId="0" applyNumberFormat="1" applyAlignment="1">
      <alignment horizontal="right"/>
    </xf>
    <xf numFmtId="6" fontId="0" fillId="0" borderId="0" xfId="0" applyNumberFormat="1"/>
    <xf numFmtId="173" fontId="0" fillId="0" borderId="0" xfId="86" applyNumberFormat="1" applyFont="1"/>
    <xf numFmtId="0" fontId="3" fillId="0" borderId="0" xfId="250" applyAlignment="1">
      <alignment horizontal="left"/>
    </xf>
    <xf numFmtId="0" fontId="3" fillId="0" borderId="0" xfId="250"/>
    <xf numFmtId="0" fontId="15" fillId="0" borderId="0" xfId="250" applyFont="1"/>
    <xf numFmtId="0" fontId="84" fillId="0" borderId="0" xfId="250" applyFont="1"/>
    <xf numFmtId="9" fontId="11" fillId="0" borderId="0" xfId="250" quotePrefix="1" applyNumberFormat="1" applyFont="1" applyAlignment="1">
      <alignment horizontal="center"/>
    </xf>
    <xf numFmtId="0" fontId="5" fillId="0" borderId="0" xfId="258" applyFont="1" applyAlignment="1">
      <alignment horizontal="center"/>
    </xf>
    <xf numFmtId="0" fontId="5" fillId="0" borderId="0" xfId="258" applyFont="1"/>
    <xf numFmtId="185" fontId="5" fillId="0" borderId="0" xfId="258" applyNumberFormat="1" applyFont="1" applyAlignment="1">
      <alignment horizontal="center"/>
    </xf>
    <xf numFmtId="0" fontId="5" fillId="0" borderId="11" xfId="258" applyFont="1" applyBorder="1" applyAlignment="1">
      <alignment horizontal="center"/>
    </xf>
    <xf numFmtId="185" fontId="5" fillId="0" borderId="11" xfId="258" applyNumberFormat="1" applyFont="1" applyBorder="1" applyAlignment="1">
      <alignment horizontal="center"/>
    </xf>
    <xf numFmtId="174" fontId="0" fillId="0" borderId="0" xfId="116" applyNumberFormat="1" applyFont="1" applyAlignment="1">
      <alignment horizontal="center"/>
    </xf>
    <xf numFmtId="0" fontId="10" fillId="0" borderId="0" xfId="0" applyFont="1" applyAlignment="1">
      <alignment horizontal="left"/>
    </xf>
    <xf numFmtId="6" fontId="10" fillId="0" borderId="0" xfId="0" applyNumberFormat="1" applyFont="1" applyAlignment="1">
      <alignment horizontal="right"/>
    </xf>
    <xf numFmtId="164" fontId="0" fillId="0" borderId="0" xfId="269" applyNumberFormat="1" applyFont="1"/>
    <xf numFmtId="173" fontId="90" fillId="0" borderId="0" xfId="258" applyNumberFormat="1" applyFont="1"/>
    <xf numFmtId="0" fontId="24" fillId="0" borderId="0" xfId="250" applyFont="1" applyAlignment="1">
      <alignment horizontal="center"/>
    </xf>
    <xf numFmtId="0" fontId="93" fillId="0" borderId="0" xfId="250" applyFont="1"/>
    <xf numFmtId="173" fontId="0" fillId="0" borderId="14" xfId="0" applyNumberFormat="1" applyBorder="1"/>
    <xf numFmtId="9" fontId="0" fillId="0" borderId="0" xfId="269" applyFont="1"/>
    <xf numFmtId="0" fontId="95" fillId="0" borderId="0" xfId="0" applyFont="1" applyAlignment="1">
      <alignment horizontal="center" wrapText="1"/>
    </xf>
    <xf numFmtId="0" fontId="19" fillId="0" borderId="0" xfId="255" applyFont="1" applyAlignment="1">
      <alignment horizontal="center"/>
    </xf>
    <xf numFmtId="190" fontId="99" fillId="0" borderId="0" xfId="208" applyNumberFormat="1" applyFont="1" applyAlignment="1">
      <alignment horizontal="center"/>
    </xf>
    <xf numFmtId="38" fontId="0" fillId="0" borderId="0" xfId="0" applyNumberFormat="1"/>
    <xf numFmtId="0" fontId="3" fillId="0" borderId="0" xfId="0" applyFont="1"/>
    <xf numFmtId="0" fontId="5" fillId="0" borderId="11" xfId="258" applyFont="1" applyBorder="1"/>
    <xf numFmtId="173" fontId="79" fillId="0" borderId="0" xfId="258" applyNumberFormat="1" applyFont="1"/>
    <xf numFmtId="0" fontId="72" fillId="0" borderId="0" xfId="258" applyFont="1" applyAlignment="1">
      <alignment horizontal="center"/>
    </xf>
    <xf numFmtId="3" fontId="79" fillId="0" borderId="0" xfId="258" applyNumberFormat="1" applyFont="1"/>
    <xf numFmtId="38" fontId="23" fillId="0" borderId="0" xfId="0" applyNumberFormat="1" applyFont="1"/>
    <xf numFmtId="176" fontId="4" fillId="0" borderId="15" xfId="260" applyNumberFormat="1" applyBorder="1"/>
    <xf numFmtId="176" fontId="4" fillId="0" borderId="0" xfId="260" applyNumberFormat="1"/>
    <xf numFmtId="49" fontId="6" fillId="0" borderId="0" xfId="86" applyNumberFormat="1" applyFont="1" applyAlignment="1">
      <alignment horizontal="center"/>
    </xf>
    <xf numFmtId="0" fontId="100" fillId="0" borderId="0" xfId="258" applyFont="1"/>
    <xf numFmtId="0" fontId="120" fillId="0" borderId="0" xfId="258" applyFont="1"/>
    <xf numFmtId="0" fontId="33" fillId="0" borderId="0" xfId="250" applyFont="1"/>
    <xf numFmtId="0" fontId="108" fillId="0" borderId="0" xfId="250" applyFont="1" applyAlignment="1">
      <alignment horizontal="center"/>
    </xf>
    <xf numFmtId="0" fontId="95" fillId="0" borderId="0" xfId="0" applyFont="1" applyAlignment="1">
      <alignment horizontal="center"/>
    </xf>
    <xf numFmtId="10" fontId="4" fillId="0" borderId="0" xfId="260" applyNumberFormat="1"/>
    <xf numFmtId="41" fontId="20" fillId="30" borderId="6" xfId="257" applyNumberFormat="1" applyFont="1" applyFill="1" applyBorder="1" applyProtection="1">
      <protection locked="0"/>
    </xf>
    <xf numFmtId="3" fontId="20" fillId="30" borderId="0" xfId="257" applyNumberFormat="1" applyFont="1" applyFill="1" applyProtection="1">
      <protection locked="0"/>
    </xf>
    <xf numFmtId="41" fontId="6" fillId="30" borderId="0" xfId="257" applyNumberFormat="1" applyFont="1" applyFill="1" applyProtection="1">
      <protection locked="0"/>
    </xf>
    <xf numFmtId="173" fontId="20" fillId="30" borderId="0" xfId="86" applyNumberFormat="1" applyFont="1" applyFill="1" applyAlignment="1" applyProtection="1">
      <alignment horizontal="right"/>
      <protection locked="0"/>
    </xf>
    <xf numFmtId="41" fontId="20" fillId="30" borderId="0" xfId="257" applyNumberFormat="1" applyFont="1" applyFill="1" applyProtection="1">
      <protection locked="0"/>
    </xf>
    <xf numFmtId="173" fontId="9" fillId="30" borderId="0" xfId="86" applyNumberFormat="1" applyFont="1" applyFill="1" applyProtection="1">
      <protection locked="0"/>
    </xf>
    <xf numFmtId="173" fontId="9" fillId="30" borderId="11" xfId="86" applyNumberFormat="1" applyFont="1" applyFill="1" applyBorder="1" applyAlignment="1" applyProtection="1">
      <protection locked="0"/>
    </xf>
    <xf numFmtId="10" fontId="20" fillId="30" borderId="0" xfId="257" applyNumberFormat="1" applyFont="1" applyFill="1" applyProtection="1">
      <protection locked="0"/>
    </xf>
    <xf numFmtId="41" fontId="20" fillId="30" borderId="0" xfId="257" applyNumberFormat="1" applyFont="1" applyFill="1" applyAlignment="1" applyProtection="1">
      <alignment vertical="center"/>
      <protection locked="0"/>
    </xf>
    <xf numFmtId="0" fontId="7" fillId="0" borderId="0" xfId="0" applyFont="1"/>
    <xf numFmtId="10" fontId="20" fillId="31" borderId="0" xfId="269" applyNumberFormat="1" applyFont="1" applyFill="1" applyAlignment="1" applyProtection="1">
      <protection locked="0"/>
    </xf>
    <xf numFmtId="173" fontId="79" fillId="32" borderId="0" xfId="258" applyNumberFormat="1" applyFont="1" applyFill="1"/>
    <xf numFmtId="172" fontId="4" fillId="0" borderId="0" xfId="257" applyProtection="1"/>
    <xf numFmtId="172" fontId="6" fillId="0" borderId="0" xfId="257" applyFont="1" applyProtection="1"/>
    <xf numFmtId="0" fontId="7" fillId="0" borderId="0" xfId="257" applyNumberFormat="1" applyFont="1" applyAlignment="1" applyProtection="1">
      <alignment horizontal="left"/>
    </xf>
    <xf numFmtId="14" fontId="7" fillId="0" borderId="0" xfId="257" applyNumberFormat="1" applyFont="1" applyProtection="1"/>
    <xf numFmtId="172" fontId="7" fillId="0" borderId="0" xfId="257" applyFont="1" applyProtection="1"/>
    <xf numFmtId="0" fontId="20" fillId="32" borderId="0" xfId="86" applyNumberFormat="1" applyFont="1" applyFill="1" applyAlignment="1" applyProtection="1"/>
    <xf numFmtId="0" fontId="6" fillId="0" borderId="0" xfId="257" applyNumberFormat="1" applyFont="1" applyProtection="1"/>
    <xf numFmtId="0" fontId="6" fillId="0" borderId="0" xfId="0" applyFont="1"/>
    <xf numFmtId="0" fontId="6" fillId="0" borderId="0" xfId="257" applyNumberFormat="1" applyFont="1" applyAlignment="1" applyProtection="1">
      <alignment horizontal="right"/>
    </xf>
    <xf numFmtId="0" fontId="20" fillId="0" borderId="0" xfId="86" applyNumberFormat="1" applyFont="1" applyFill="1" applyAlignment="1" applyProtection="1"/>
    <xf numFmtId="3" fontId="6" fillId="0" borderId="0" xfId="257" applyNumberFormat="1" applyFont="1" applyProtection="1"/>
    <xf numFmtId="0" fontId="4" fillId="0" borderId="0" xfId="257" applyNumberFormat="1" applyAlignment="1" applyProtection="1">
      <alignment horizontal="center"/>
    </xf>
    <xf numFmtId="0" fontId="6" fillId="0" borderId="0" xfId="257" applyNumberFormat="1" applyFont="1" applyAlignment="1" applyProtection="1">
      <alignment horizontal="center"/>
    </xf>
    <xf numFmtId="49" fontId="6" fillId="0" borderId="0" xfId="257" applyNumberFormat="1" applyFont="1" applyAlignment="1" applyProtection="1">
      <alignment horizontal="center"/>
    </xf>
    <xf numFmtId="3" fontId="22" fillId="0" borderId="0" xfId="0" applyNumberFormat="1" applyFont="1" applyAlignment="1">
      <alignment horizontal="center"/>
    </xf>
    <xf numFmtId="49" fontId="6" fillId="0" borderId="0" xfId="257" applyNumberFormat="1" applyFont="1" applyProtection="1"/>
    <xf numFmtId="39" fontId="6" fillId="0" borderId="0" xfId="86" applyNumberFormat="1" applyFont="1" applyAlignment="1" applyProtection="1">
      <alignment horizontal="center"/>
    </xf>
    <xf numFmtId="0" fontId="4" fillId="0" borderId="6" xfId="257" applyNumberFormat="1" applyBorder="1" applyAlignment="1" applyProtection="1">
      <alignment horizontal="center"/>
    </xf>
    <xf numFmtId="0" fontId="6" fillId="0" borderId="6" xfId="257" applyNumberFormat="1" applyFont="1" applyBorder="1" applyAlignment="1" applyProtection="1">
      <alignment horizontal="center"/>
    </xf>
    <xf numFmtId="0" fontId="6" fillId="0" borderId="0" xfId="257" applyNumberFormat="1" applyFont="1" applyAlignment="1" applyProtection="1">
      <alignment horizontal="left"/>
    </xf>
    <xf numFmtId="170" fontId="6" fillId="0" borderId="0" xfId="257" applyNumberFormat="1" applyFont="1" applyProtection="1"/>
    <xf numFmtId="3" fontId="6" fillId="0" borderId="0" xfId="257" applyNumberFormat="1" applyFont="1" applyAlignment="1" applyProtection="1">
      <alignment horizontal="left"/>
    </xf>
    <xf numFmtId="0" fontId="6" fillId="0" borderId="6" xfId="257" applyNumberFormat="1" applyFont="1" applyBorder="1" applyAlignment="1" applyProtection="1">
      <alignment horizontal="centerContinuous"/>
    </xf>
    <xf numFmtId="41" fontId="6" fillId="0" borderId="0" xfId="257" applyNumberFormat="1" applyFont="1" applyProtection="1"/>
    <xf numFmtId="3" fontId="6" fillId="0" borderId="0" xfId="257" applyNumberFormat="1" applyFont="1" applyAlignment="1" applyProtection="1">
      <alignment horizontal="center"/>
    </xf>
    <xf numFmtId="165" fontId="6" fillId="0" borderId="0" xfId="257" applyNumberFormat="1" applyFont="1" applyAlignment="1" applyProtection="1">
      <alignment horizontal="right"/>
    </xf>
    <xf numFmtId="42" fontId="6" fillId="0" borderId="0" xfId="257" applyNumberFormat="1" applyFont="1" applyProtection="1"/>
    <xf numFmtId="0" fontId="6" fillId="0" borderId="0" xfId="0" applyFont="1" applyAlignment="1">
      <alignment wrapText="1"/>
    </xf>
    <xf numFmtId="174" fontId="6" fillId="0" borderId="14" xfId="257" applyNumberFormat="1" applyFont="1" applyBorder="1" applyProtection="1"/>
    <xf numFmtId="172" fontId="78" fillId="0" borderId="0" xfId="257" applyFont="1" applyAlignment="1" applyProtection="1">
      <alignment horizontal="center" wrapText="1"/>
    </xf>
    <xf numFmtId="43" fontId="6" fillId="0" borderId="0" xfId="86" applyFont="1" applyProtection="1"/>
    <xf numFmtId="171" fontId="6" fillId="0" borderId="0" xfId="257" applyNumberFormat="1" applyFont="1" applyProtection="1"/>
    <xf numFmtId="10" fontId="6" fillId="0" borderId="0" xfId="257" applyNumberFormat="1" applyFont="1" applyProtection="1"/>
    <xf numFmtId="10" fontId="6" fillId="0" borderId="0" xfId="269" applyNumberFormat="1" applyFont="1" applyFill="1" applyAlignment="1" applyProtection="1"/>
    <xf numFmtId="186" fontId="6" fillId="0" borderId="0" xfId="257" applyNumberFormat="1" applyFont="1" applyProtection="1"/>
    <xf numFmtId="41" fontId="6" fillId="0" borderId="0" xfId="257" applyNumberFormat="1" applyFont="1" applyAlignment="1" applyProtection="1">
      <alignment horizontal="center"/>
    </xf>
    <xf numFmtId="41" fontId="6" fillId="0" borderId="14" xfId="257" applyNumberFormat="1" applyFont="1" applyBorder="1" applyAlignment="1" applyProtection="1">
      <alignment horizontal="center"/>
    </xf>
    <xf numFmtId="41" fontId="6" fillId="0" borderId="0" xfId="257" applyNumberFormat="1" applyFont="1" applyAlignment="1" applyProtection="1">
      <alignment horizontal="right"/>
    </xf>
    <xf numFmtId="42" fontId="6" fillId="0" borderId="0" xfId="269" applyNumberFormat="1" applyFont="1" applyAlignment="1" applyProtection="1"/>
    <xf numFmtId="43" fontId="6" fillId="0" borderId="0" xfId="257" applyNumberFormat="1" applyFont="1" applyAlignment="1" applyProtection="1">
      <alignment horizontal="right"/>
    </xf>
    <xf numFmtId="43" fontId="6" fillId="0" borderId="0" xfId="86" applyFont="1" applyAlignment="1" applyProtection="1"/>
    <xf numFmtId="172" fontId="6" fillId="0" borderId="0" xfId="257" applyFont="1" applyAlignment="1" applyProtection="1">
      <alignment horizontal="right"/>
    </xf>
    <xf numFmtId="0" fontId="33" fillId="0" borderId="0" xfId="0" applyFont="1" applyAlignment="1">
      <alignment horizontal="center"/>
    </xf>
    <xf numFmtId="49" fontId="6" fillId="0" borderId="0" xfId="257" applyNumberFormat="1" applyFont="1" applyAlignment="1" applyProtection="1">
      <alignment horizontal="left"/>
    </xf>
    <xf numFmtId="0" fontId="4" fillId="0" borderId="0" xfId="257" applyNumberFormat="1" applyAlignment="1" applyProtection="1">
      <alignment horizontal="center" vertical="center"/>
    </xf>
    <xf numFmtId="3" fontId="7" fillId="0" borderId="0" xfId="257" applyNumberFormat="1" applyFont="1" applyAlignment="1" applyProtection="1">
      <alignment horizontal="center"/>
    </xf>
    <xf numFmtId="172" fontId="7" fillId="0" borderId="0" xfId="257" applyFont="1" applyAlignment="1" applyProtection="1">
      <alignment horizontal="center"/>
    </xf>
    <xf numFmtId="49" fontId="7" fillId="0" borderId="0" xfId="257" applyNumberFormat="1" applyFont="1" applyAlignment="1" applyProtection="1">
      <alignment horizontal="center"/>
    </xf>
    <xf numFmtId="0" fontId="11" fillId="0" borderId="0" xfId="257" applyNumberFormat="1" applyFont="1" applyAlignment="1" applyProtection="1">
      <alignment horizontal="center"/>
    </xf>
    <xf numFmtId="172" fontId="11" fillId="0" borderId="0" xfId="257" applyFont="1" applyAlignment="1" applyProtection="1">
      <alignment horizontal="center"/>
    </xf>
    <xf numFmtId="3" fontId="7" fillId="0" borderId="0" xfId="257" applyNumberFormat="1" applyFont="1" applyProtection="1"/>
    <xf numFmtId="3" fontId="15" fillId="0" borderId="0" xfId="257" applyNumberFormat="1" applyFont="1" applyAlignment="1" applyProtection="1">
      <alignment horizontal="center"/>
    </xf>
    <xf numFmtId="0" fontId="29" fillId="0" borderId="0" xfId="257" applyNumberFormat="1" applyFont="1" applyProtection="1"/>
    <xf numFmtId="0" fontId="6" fillId="0" borderId="0" xfId="257" applyNumberFormat="1" applyFont="1" applyAlignment="1" applyProtection="1">
      <alignment horizontal="center" vertical="center"/>
    </xf>
    <xf numFmtId="0" fontId="6" fillId="0" borderId="0" xfId="257" applyNumberFormat="1" applyFont="1" applyAlignment="1" applyProtection="1">
      <alignment vertical="center"/>
    </xf>
    <xf numFmtId="3" fontId="6" fillId="0" borderId="0" xfId="257" applyNumberFormat="1" applyFont="1" applyAlignment="1" applyProtection="1">
      <alignment vertical="center" wrapText="1"/>
    </xf>
    <xf numFmtId="3" fontId="6" fillId="0" borderId="0" xfId="257" applyNumberFormat="1" applyFont="1" applyAlignment="1" applyProtection="1">
      <alignment horizontal="center" vertical="center"/>
    </xf>
    <xf numFmtId="3" fontId="6" fillId="0" borderId="0" xfId="257" applyNumberFormat="1" applyFont="1" applyAlignment="1" applyProtection="1">
      <alignment vertical="center"/>
    </xf>
    <xf numFmtId="41" fontId="6" fillId="0" borderId="0" xfId="257" applyNumberFormat="1" applyFont="1" applyAlignment="1" applyProtection="1">
      <alignment vertical="center"/>
    </xf>
    <xf numFmtId="41" fontId="6" fillId="0" borderId="6" xfId="257" applyNumberFormat="1" applyFont="1" applyBorder="1" applyProtection="1"/>
    <xf numFmtId="172" fontId="7" fillId="0" borderId="0" xfId="257" applyFont="1" applyAlignment="1" applyProtection="1">
      <alignment horizontal="right"/>
    </xf>
    <xf numFmtId="178" fontId="7" fillId="0" borderId="0" xfId="257" applyNumberFormat="1" applyFont="1" applyAlignment="1" applyProtection="1">
      <alignment horizontal="right"/>
    </xf>
    <xf numFmtId="166" fontId="7" fillId="0" borderId="0" xfId="257" applyNumberFormat="1" applyFont="1" applyAlignment="1" applyProtection="1">
      <alignment horizontal="right"/>
    </xf>
    <xf numFmtId="178" fontId="6" fillId="0" borderId="0" xfId="257" applyNumberFormat="1" applyFont="1" applyProtection="1"/>
    <xf numFmtId="184" fontId="6" fillId="0" borderId="0" xfId="257" applyNumberFormat="1" applyFont="1" applyProtection="1"/>
    <xf numFmtId="183" fontId="6" fillId="0" borderId="0" xfId="257" applyNumberFormat="1" applyFont="1" applyProtection="1"/>
    <xf numFmtId="3" fontId="7" fillId="0" borderId="0" xfId="257" applyNumberFormat="1" applyFont="1" applyAlignment="1" applyProtection="1">
      <alignment horizontal="right" vertical="center"/>
    </xf>
    <xf numFmtId="165" fontId="6" fillId="0" borderId="0" xfId="257" applyNumberFormat="1" applyFont="1" applyProtection="1"/>
    <xf numFmtId="0" fontId="33" fillId="0" borderId="0" xfId="0" applyFont="1" applyAlignment="1">
      <alignment wrapText="1"/>
    </xf>
    <xf numFmtId="0" fontId="33" fillId="0" borderId="0" xfId="0" applyFont="1" applyAlignment="1">
      <alignment horizontal="center" wrapText="1"/>
    </xf>
    <xf numFmtId="164" fontId="6" fillId="0" borderId="0" xfId="257" applyNumberFormat="1" applyFont="1" applyAlignment="1" applyProtection="1">
      <alignment horizontal="center"/>
    </xf>
    <xf numFmtId="0" fontId="4" fillId="32" borderId="0" xfId="257" applyNumberFormat="1" applyFill="1" applyAlignment="1" applyProtection="1">
      <alignment horizontal="center"/>
    </xf>
    <xf numFmtId="3" fontId="7" fillId="0" borderId="0" xfId="257" applyNumberFormat="1" applyFont="1" applyAlignment="1" applyProtection="1">
      <alignment horizontal="right"/>
    </xf>
    <xf numFmtId="182" fontId="6" fillId="0" borderId="0" xfId="86" applyNumberFormat="1" applyFont="1" applyFill="1" applyAlignment="1" applyProtection="1"/>
    <xf numFmtId="164" fontId="6" fillId="0" borderId="0" xfId="257" applyNumberFormat="1" applyFont="1" applyAlignment="1" applyProtection="1">
      <alignment horizontal="left"/>
    </xf>
    <xf numFmtId="175" fontId="6" fillId="0" borderId="0" xfId="257" applyNumberFormat="1" applyFont="1" applyProtection="1"/>
    <xf numFmtId="41" fontId="6" fillId="0" borderId="0" xfId="257" applyNumberFormat="1" applyFont="1" applyAlignment="1" applyProtection="1">
      <alignment horizontal="center" vertical="center"/>
    </xf>
    <xf numFmtId="41" fontId="6" fillId="0" borderId="16" xfId="257" applyNumberFormat="1" applyFont="1" applyBorder="1" applyProtection="1"/>
    <xf numFmtId="0" fontId="86" fillId="0" borderId="0" xfId="257" applyNumberFormat="1" applyFont="1" applyAlignment="1" applyProtection="1">
      <alignment horizontal="center"/>
    </xf>
    <xf numFmtId="3" fontId="6" fillId="0" borderId="0" xfId="257" applyNumberFormat="1" applyFont="1" applyAlignment="1" applyProtection="1">
      <alignment horizontal="right"/>
    </xf>
    <xf numFmtId="172" fontId="6" fillId="0" borderId="0" xfId="257" applyFont="1" applyAlignment="1" applyProtection="1">
      <alignment horizontal="center"/>
    </xf>
    <xf numFmtId="0" fontId="7" fillId="0" borderId="0" xfId="257" applyNumberFormat="1" applyFont="1" applyAlignment="1" applyProtection="1">
      <alignment horizontal="center"/>
    </xf>
    <xf numFmtId="3" fontId="11" fillId="0" borderId="0" xfId="257" applyNumberFormat="1" applyFont="1" applyAlignment="1" applyProtection="1">
      <alignment horizontal="center"/>
    </xf>
    <xf numFmtId="3" fontId="11" fillId="0" borderId="0" xfId="257" applyNumberFormat="1" applyFont="1" applyProtection="1"/>
    <xf numFmtId="41" fontId="151" fillId="32" borderId="0" xfId="257" applyNumberFormat="1" applyFont="1" applyFill="1" applyAlignment="1" applyProtection="1">
      <alignment wrapText="1"/>
    </xf>
    <xf numFmtId="3" fontId="94" fillId="0" borderId="0" xfId="257" applyNumberFormat="1" applyFont="1" applyAlignment="1" applyProtection="1">
      <alignment horizontal="right"/>
    </xf>
    <xf numFmtId="41" fontId="94" fillId="0" borderId="0" xfId="257" applyNumberFormat="1" applyFont="1" applyAlignment="1" applyProtection="1">
      <alignment horizontal="right"/>
    </xf>
    <xf numFmtId="3" fontId="6" fillId="0" borderId="0" xfId="257" applyNumberFormat="1" applyFont="1" applyAlignment="1" applyProtection="1">
      <alignment horizontal="left" wrapText="1"/>
    </xf>
    <xf numFmtId="0" fontId="13" fillId="0" borderId="0" xfId="0" applyFont="1" applyAlignment="1">
      <alignment horizontal="left" wrapText="1"/>
    </xf>
    <xf numFmtId="43" fontId="6" fillId="0" borderId="0" xfId="269" applyNumberFormat="1" applyFont="1" applyFill="1" applyAlignment="1" applyProtection="1"/>
    <xf numFmtId="166" fontId="6" fillId="0" borderId="0" xfId="257" applyNumberFormat="1" applyFont="1" applyProtection="1"/>
    <xf numFmtId="182" fontId="6" fillId="0" borderId="0" xfId="86" applyNumberFormat="1" applyFont="1" applyAlignment="1" applyProtection="1"/>
    <xf numFmtId="167" fontId="6" fillId="0" borderId="0" xfId="257" applyNumberFormat="1" applyFont="1" applyProtection="1"/>
    <xf numFmtId="172" fontId="24" fillId="0" borderId="0" xfId="257" applyFont="1" applyProtection="1"/>
    <xf numFmtId="168" fontId="6" fillId="0" borderId="0" xfId="257" applyNumberFormat="1" applyFont="1" applyProtection="1"/>
    <xf numFmtId="10" fontId="6" fillId="0" borderId="0" xfId="257" applyNumberFormat="1" applyFont="1" applyAlignment="1" applyProtection="1">
      <alignment horizontal="right"/>
    </xf>
    <xf numFmtId="10" fontId="33" fillId="0" borderId="0" xfId="269" applyNumberFormat="1" applyFont="1" applyProtection="1"/>
    <xf numFmtId="3" fontId="24" fillId="0" borderId="0" xfId="257" applyNumberFormat="1" applyFont="1" applyProtection="1"/>
    <xf numFmtId="166" fontId="6" fillId="0" borderId="0" xfId="257" applyNumberFormat="1" applyFont="1" applyAlignment="1" applyProtection="1">
      <alignment horizontal="center"/>
    </xf>
    <xf numFmtId="188" fontId="24" fillId="0" borderId="0" xfId="257" applyNumberFormat="1" applyFont="1" applyAlignment="1" applyProtection="1">
      <alignment horizontal="center"/>
    </xf>
    <xf numFmtId="189" fontId="6" fillId="0" borderId="0" xfId="257" applyNumberFormat="1" applyFont="1" applyProtection="1"/>
    <xf numFmtId="179" fontId="6" fillId="0" borderId="0" xfId="257" applyNumberFormat="1" applyFont="1" applyAlignment="1" applyProtection="1">
      <alignment horizontal="right"/>
    </xf>
    <xf numFmtId="186" fontId="6" fillId="0" borderId="0" xfId="86" applyNumberFormat="1" applyFont="1" applyAlignment="1" applyProtection="1">
      <alignment horizontal="center"/>
    </xf>
    <xf numFmtId="41" fontId="24" fillId="0" borderId="0" xfId="257" applyNumberFormat="1" applyFont="1" applyProtection="1"/>
    <xf numFmtId="43" fontId="24" fillId="0" borderId="0" xfId="86" applyFont="1" applyAlignment="1" applyProtection="1"/>
    <xf numFmtId="10" fontId="6" fillId="0" borderId="0" xfId="257" applyNumberFormat="1" applyFont="1" applyAlignment="1" applyProtection="1">
      <alignment horizontal="left"/>
    </xf>
    <xf numFmtId="168" fontId="6" fillId="0" borderId="0" xfId="257" applyNumberFormat="1" applyFont="1" applyAlignment="1" applyProtection="1">
      <alignment horizontal="left"/>
    </xf>
    <xf numFmtId="179" fontId="6" fillId="0" borderId="0" xfId="257" applyNumberFormat="1" applyFont="1" applyProtection="1"/>
    <xf numFmtId="173" fontId="6" fillId="0" borderId="0" xfId="257" applyNumberFormat="1" applyFont="1" applyProtection="1"/>
    <xf numFmtId="164" fontId="6" fillId="0" borderId="0" xfId="257" applyNumberFormat="1" applyFont="1" applyAlignment="1" applyProtection="1">
      <alignment horizontal="left" vertical="center"/>
    </xf>
    <xf numFmtId="180" fontId="6" fillId="0" borderId="0" xfId="257" applyNumberFormat="1" applyFont="1" applyProtection="1"/>
    <xf numFmtId="173" fontId="6" fillId="0" borderId="14" xfId="86" applyNumberFormat="1" applyFont="1" applyBorder="1" applyAlignment="1" applyProtection="1"/>
    <xf numFmtId="0" fontId="7" fillId="0" borderId="0" xfId="257" applyNumberFormat="1" applyFont="1" applyProtection="1"/>
    <xf numFmtId="0" fontId="6" fillId="0" borderId="0" xfId="0" applyFont="1" applyAlignment="1">
      <alignment horizontal="left"/>
    </xf>
    <xf numFmtId="165" fontId="7" fillId="0" borderId="0" xfId="257" applyNumberFormat="1" applyFont="1" applyAlignment="1" applyProtection="1">
      <alignment horizontal="right"/>
    </xf>
    <xf numFmtId="3" fontId="6" fillId="0" borderId="0" xfId="257" applyNumberFormat="1" applyFont="1" applyAlignment="1" applyProtection="1">
      <alignment horizontal="center" wrapText="1"/>
    </xf>
    <xf numFmtId="173" fontId="6" fillId="0" borderId="0" xfId="86" applyNumberFormat="1" applyFont="1" applyFill="1" applyAlignment="1" applyProtection="1"/>
    <xf numFmtId="4" fontId="6" fillId="0" borderId="0" xfId="257" applyNumberFormat="1" applyFont="1" applyProtection="1"/>
    <xf numFmtId="165" fontId="7" fillId="0" borderId="0" xfId="257" applyNumberFormat="1" applyFont="1" applyProtection="1"/>
    <xf numFmtId="0" fontId="11" fillId="0" borderId="0" xfId="257" applyNumberFormat="1" applyFont="1" applyProtection="1"/>
    <xf numFmtId="3" fontId="6" fillId="0" borderId="6" xfId="257" applyNumberFormat="1" applyFont="1" applyBorder="1" applyAlignment="1" applyProtection="1">
      <alignment horizontal="center"/>
    </xf>
    <xf numFmtId="41" fontId="7" fillId="0" borderId="0" xfId="257" applyNumberFormat="1" applyFont="1" applyProtection="1"/>
    <xf numFmtId="0" fontId="15" fillId="0" borderId="0" xfId="257" applyNumberFormat="1" applyFont="1" applyAlignment="1" applyProtection="1">
      <alignment horizontal="left"/>
    </xf>
    <xf numFmtId="3" fontId="6" fillId="32" borderId="0" xfId="257" applyNumberFormat="1" applyFont="1" applyFill="1" applyProtection="1"/>
    <xf numFmtId="182" fontId="6" fillId="0" borderId="6" xfId="86" applyNumberFormat="1" applyFont="1" applyFill="1" applyBorder="1" applyAlignment="1" applyProtection="1">
      <alignment horizontal="center"/>
    </xf>
    <xf numFmtId="169" fontId="6" fillId="0" borderId="0" xfId="257" applyNumberFormat="1" applyFont="1" applyProtection="1"/>
    <xf numFmtId="169" fontId="6" fillId="0" borderId="6" xfId="257" applyNumberFormat="1" applyFont="1" applyBorder="1" applyProtection="1"/>
    <xf numFmtId="182" fontId="13" fillId="0" borderId="0" xfId="86" applyNumberFormat="1" applyFont="1" applyFill="1" applyProtection="1"/>
    <xf numFmtId="169" fontId="7" fillId="0" borderId="0" xfId="257" applyNumberFormat="1" applyFont="1" applyProtection="1"/>
    <xf numFmtId="0" fontId="4" fillId="31" borderId="0" xfId="257" applyNumberFormat="1" applyFill="1" applyAlignment="1" applyProtection="1">
      <alignment horizontal="center"/>
    </xf>
    <xf numFmtId="0" fontId="6" fillId="31" borderId="0" xfId="257" applyNumberFormat="1" applyFont="1" applyFill="1" applyAlignment="1" applyProtection="1">
      <alignment horizontal="center"/>
    </xf>
    <xf numFmtId="0" fontId="11" fillId="31" borderId="0" xfId="257" applyNumberFormat="1" applyFont="1" applyFill="1" applyProtection="1"/>
    <xf numFmtId="0" fontId="6" fillId="31" borderId="0" xfId="257" applyNumberFormat="1" applyFont="1" applyFill="1" applyAlignment="1" applyProtection="1">
      <alignment horizontal="left"/>
    </xf>
    <xf numFmtId="3" fontId="6" fillId="31" borderId="0" xfId="257" applyNumberFormat="1" applyFont="1" applyFill="1" applyProtection="1"/>
    <xf numFmtId="172" fontId="6" fillId="31" borderId="0" xfId="257" applyFont="1" applyFill="1" applyProtection="1"/>
    <xf numFmtId="3" fontId="7" fillId="31" borderId="0" xfId="257" applyNumberFormat="1" applyFont="1" applyFill="1" applyProtection="1"/>
    <xf numFmtId="166" fontId="7" fillId="31" borderId="0" xfId="257" applyNumberFormat="1" applyFont="1" applyFill="1" applyProtection="1"/>
    <xf numFmtId="0" fontId="6" fillId="31" borderId="0" xfId="257" applyNumberFormat="1" applyFont="1" applyFill="1" applyProtection="1"/>
    <xf numFmtId="3" fontId="6" fillId="31" borderId="6" xfId="257" applyNumberFormat="1" applyFont="1" applyFill="1" applyBorder="1" applyAlignment="1" applyProtection="1">
      <alignment horizontal="center"/>
    </xf>
    <xf numFmtId="41" fontId="6" fillId="31" borderId="0" xfId="257" applyNumberFormat="1" applyFont="1" applyFill="1" applyProtection="1"/>
    <xf numFmtId="0" fontId="15" fillId="31" borderId="0" xfId="257" applyNumberFormat="1" applyFont="1" applyFill="1" applyAlignment="1" applyProtection="1">
      <alignment horizontal="left"/>
    </xf>
    <xf numFmtId="0" fontId="0" fillId="31" borderId="0" xfId="0" applyFill="1"/>
    <xf numFmtId="0" fontId="33" fillId="31" borderId="0" xfId="0" applyFont="1" applyFill="1"/>
    <xf numFmtId="41" fontId="20" fillId="31" borderId="0" xfId="257" applyNumberFormat="1" applyFont="1" applyFill="1" applyProtection="1"/>
    <xf numFmtId="10" fontId="6" fillId="31" borderId="0" xfId="269" applyNumberFormat="1" applyFont="1" applyFill="1" applyAlignment="1" applyProtection="1"/>
    <xf numFmtId="41" fontId="20" fillId="31" borderId="6" xfId="257" applyNumberFormat="1" applyFont="1" applyFill="1" applyBorder="1" applyProtection="1"/>
    <xf numFmtId="3" fontId="24" fillId="31" borderId="0" xfId="257" applyNumberFormat="1" applyFont="1" applyFill="1" applyProtection="1"/>
    <xf numFmtId="0" fontId="6" fillId="31" borderId="6" xfId="257" applyNumberFormat="1" applyFont="1" applyFill="1" applyBorder="1" applyAlignment="1" applyProtection="1">
      <alignment horizontal="center"/>
    </xf>
    <xf numFmtId="182" fontId="6" fillId="31" borderId="6" xfId="86" applyNumberFormat="1" applyFont="1" applyFill="1" applyBorder="1" applyAlignment="1" applyProtection="1">
      <alignment horizontal="center"/>
    </xf>
    <xf numFmtId="10" fontId="6" fillId="31" borderId="0" xfId="257" applyNumberFormat="1" applyFont="1" applyFill="1" applyProtection="1"/>
    <xf numFmtId="169" fontId="24" fillId="31" borderId="0" xfId="257" applyNumberFormat="1" applyFont="1" applyFill="1" applyProtection="1"/>
    <xf numFmtId="169" fontId="6" fillId="31" borderId="17" xfId="257" applyNumberFormat="1" applyFont="1" applyFill="1" applyBorder="1" applyProtection="1"/>
    <xf numFmtId="3" fontId="6" fillId="0" borderId="0" xfId="257" quotePrefix="1" applyNumberFormat="1" applyFont="1" applyProtection="1"/>
    <xf numFmtId="169" fontId="6" fillId="31" borderId="0" xfId="257" applyNumberFormat="1" applyFont="1" applyFill="1" applyProtection="1"/>
    <xf numFmtId="41" fontId="6" fillId="31" borderId="6" xfId="257" applyNumberFormat="1" applyFont="1" applyFill="1" applyBorder="1" applyProtection="1"/>
    <xf numFmtId="169" fontId="6" fillId="31" borderId="6" xfId="257" applyNumberFormat="1" applyFont="1" applyFill="1" applyBorder="1" applyProtection="1"/>
    <xf numFmtId="182" fontId="23" fillId="31" borderId="0" xfId="86" applyNumberFormat="1" applyFont="1" applyFill="1" applyProtection="1"/>
    <xf numFmtId="3" fontId="7" fillId="31" borderId="0" xfId="257" applyNumberFormat="1" applyFont="1" applyFill="1" applyAlignment="1" applyProtection="1">
      <alignment horizontal="right"/>
    </xf>
    <xf numFmtId="169" fontId="7" fillId="31" borderId="0" xfId="257" applyNumberFormat="1" applyFont="1" applyFill="1" applyProtection="1"/>
    <xf numFmtId="3" fontId="7" fillId="0" borderId="0" xfId="257" quotePrefix="1" applyNumberFormat="1" applyFont="1" applyProtection="1"/>
    <xf numFmtId="172" fontId="4" fillId="0" borderId="0" xfId="257" applyAlignment="1" applyProtection="1">
      <alignment horizontal="center"/>
    </xf>
    <xf numFmtId="0" fontId="23" fillId="0" borderId="0" xfId="0" applyFont="1"/>
    <xf numFmtId="0" fontId="27" fillId="0" borderId="0" xfId="257" applyNumberFormat="1" applyFont="1" applyProtection="1"/>
    <xf numFmtId="0" fontId="108" fillId="0" borderId="0" xfId="257" applyNumberFormat="1" applyFont="1" applyProtection="1"/>
    <xf numFmtId="172" fontId="27" fillId="0" borderId="0" xfId="257" applyFont="1" applyProtection="1"/>
    <xf numFmtId="0" fontId="27" fillId="0" borderId="0" xfId="0" applyFont="1" applyAlignment="1">
      <alignment vertical="top" wrapText="1"/>
    </xf>
    <xf numFmtId="172" fontId="27" fillId="0" borderId="0" xfId="257" applyFont="1" applyAlignment="1" applyProtection="1">
      <alignment wrapText="1"/>
    </xf>
    <xf numFmtId="172" fontId="108" fillId="0" borderId="0" xfId="257" applyFont="1" applyProtection="1"/>
    <xf numFmtId="0" fontId="4" fillId="0" borderId="0" xfId="257" applyNumberFormat="1" applyProtection="1"/>
    <xf numFmtId="172" fontId="4" fillId="0" borderId="0" xfId="257" applyAlignment="1" applyProtection="1">
      <alignment horizontal="center" wrapText="1"/>
    </xf>
    <xf numFmtId="0" fontId="6" fillId="32" borderId="0" xfId="257" applyNumberFormat="1" applyFont="1" applyFill="1" applyAlignment="1" applyProtection="1">
      <alignment vertical="top" wrapText="1"/>
    </xf>
    <xf numFmtId="0" fontId="13" fillId="32" borderId="0" xfId="0" applyFont="1" applyFill="1"/>
    <xf numFmtId="0" fontId="94" fillId="0" borderId="0" xfId="257" applyNumberFormat="1" applyFont="1" applyAlignment="1" applyProtection="1">
      <alignment horizontal="center"/>
    </xf>
    <xf numFmtId="172" fontId="24" fillId="0" borderId="0" xfId="257" applyFont="1" applyAlignment="1" applyProtection="1">
      <alignment wrapText="1"/>
    </xf>
    <xf numFmtId="173" fontId="20" fillId="0" borderId="0" xfId="86" applyNumberFormat="1" applyFont="1" applyFill="1" applyAlignment="1" applyProtection="1">
      <alignment horizontal="right"/>
    </xf>
    <xf numFmtId="10" fontId="20" fillId="30" borderId="0" xfId="269" applyNumberFormat="1" applyFont="1" applyFill="1" applyAlignment="1" applyProtection="1">
      <protection locked="0"/>
    </xf>
    <xf numFmtId="0" fontId="20" fillId="30" borderId="0" xfId="86" applyNumberFormat="1" applyFont="1" applyFill="1" applyAlignment="1" applyProtection="1">
      <protection locked="0"/>
    </xf>
    <xf numFmtId="0" fontId="13" fillId="0" borderId="0" xfId="208"/>
    <xf numFmtId="0" fontId="13" fillId="0" borderId="0" xfId="208" applyAlignment="1">
      <alignment horizontal="center"/>
    </xf>
    <xf numFmtId="0" fontId="18" fillId="0" borderId="0" xfId="250" applyFont="1" applyAlignment="1">
      <alignment horizontal="center"/>
    </xf>
    <xf numFmtId="0" fontId="13" fillId="0" borderId="0" xfId="208" applyAlignment="1">
      <alignment horizontal="center" wrapText="1"/>
    </xf>
    <xf numFmtId="0" fontId="10" fillId="0" borderId="0" xfId="208" applyFont="1" applyAlignment="1">
      <alignment horizontal="left"/>
    </xf>
    <xf numFmtId="3" fontId="13" fillId="0" borderId="0" xfId="208" applyNumberFormat="1"/>
    <xf numFmtId="173" fontId="0" fillId="0" borderId="0" xfId="86" applyNumberFormat="1" applyFont="1" applyFill="1" applyProtection="1"/>
    <xf numFmtId="173" fontId="13" fillId="0" borderId="0" xfId="89" applyNumberFormat="1" applyFont="1" applyFill="1" applyBorder="1" applyAlignment="1" applyProtection="1">
      <alignment horizontal="right"/>
    </xf>
    <xf numFmtId="0" fontId="13" fillId="0" borderId="0" xfId="208" applyAlignment="1">
      <alignment horizontal="left"/>
    </xf>
    <xf numFmtId="0" fontId="8" fillId="0" borderId="0" xfId="208" applyFont="1" applyAlignment="1">
      <alignment horizontal="left"/>
    </xf>
    <xf numFmtId="173" fontId="9" fillId="30" borderId="0" xfId="89" applyNumberFormat="1" applyFont="1" applyFill="1" applyBorder="1" applyAlignment="1" applyProtection="1">
      <alignment horizontal="right"/>
      <protection locked="0"/>
    </xf>
    <xf numFmtId="0" fontId="10" fillId="0" borderId="0" xfId="208" applyFont="1" applyAlignment="1">
      <alignment horizontal="center"/>
    </xf>
    <xf numFmtId="0" fontId="10" fillId="0" borderId="0" xfId="208" applyFont="1"/>
    <xf numFmtId="0" fontId="14" fillId="0" borderId="0" xfId="0" applyFont="1"/>
    <xf numFmtId="3" fontId="14" fillId="0" borderId="0" xfId="208" applyNumberFormat="1" applyFont="1" applyAlignment="1">
      <alignment horizontal="center"/>
    </xf>
    <xf numFmtId="0" fontId="18" fillId="0" borderId="0" xfId="208" applyFont="1" applyAlignment="1">
      <alignment horizontal="center"/>
    </xf>
    <xf numFmtId="0" fontId="14" fillId="0" borderId="0" xfId="208" applyFont="1" applyAlignment="1">
      <alignment horizontal="left"/>
    </xf>
    <xf numFmtId="173" fontId="14" fillId="0" borderId="0" xfId="89" applyNumberFormat="1" applyFont="1" applyFill="1" applyBorder="1" applyAlignment="1" applyProtection="1">
      <alignment horizontal="right"/>
    </xf>
    <xf numFmtId="164" fontId="13" fillId="0" borderId="0" xfId="271" applyNumberFormat="1" applyFont="1" applyFill="1" applyBorder="1" applyAlignment="1" applyProtection="1"/>
    <xf numFmtId="173" fontId="13" fillId="0" borderId="0" xfId="89" applyNumberFormat="1" applyFont="1" applyFill="1" applyBorder="1" applyAlignment="1" applyProtection="1">
      <alignment horizontal="left"/>
    </xf>
    <xf numFmtId="0" fontId="9" fillId="0" borderId="0" xfId="208" applyFont="1"/>
    <xf numFmtId="0" fontId="88" fillId="0" borderId="0" xfId="0" applyFont="1" applyAlignment="1">
      <alignment horizontal="center"/>
    </xf>
    <xf numFmtId="0" fontId="13" fillId="25" borderId="0" xfId="208" applyFill="1" applyAlignment="1">
      <alignment horizontal="center"/>
    </xf>
    <xf numFmtId="0" fontId="10" fillId="25" borderId="0" xfId="208" applyFont="1" applyFill="1" applyAlignment="1">
      <alignment horizontal="left"/>
    </xf>
    <xf numFmtId="0" fontId="9" fillId="25" borderId="0" xfId="208" applyFont="1" applyFill="1"/>
    <xf numFmtId="0" fontId="13" fillId="25" borderId="0" xfId="208" applyFill="1" applyAlignment="1">
      <alignment horizontal="left"/>
    </xf>
    <xf numFmtId="0" fontId="13" fillId="25" borderId="0" xfId="208" applyFill="1"/>
    <xf numFmtId="173" fontId="13" fillId="25" borderId="0" xfId="89" applyNumberFormat="1" applyFont="1" applyFill="1" applyBorder="1" applyAlignment="1" applyProtection="1">
      <alignment horizontal="right"/>
    </xf>
    <xf numFmtId="0" fontId="0" fillId="25" borderId="0" xfId="0" applyFill="1"/>
    <xf numFmtId="164" fontId="13" fillId="25" borderId="0" xfId="271" applyNumberFormat="1" applyFont="1" applyFill="1" applyBorder="1" applyAlignment="1" applyProtection="1"/>
    <xf numFmtId="173" fontId="13" fillId="25" borderId="0" xfId="89" applyNumberFormat="1" applyFont="1" applyFill="1" applyBorder="1" applyAlignment="1" applyProtection="1">
      <alignment horizontal="left"/>
    </xf>
    <xf numFmtId="0" fontId="82" fillId="0" borderId="0" xfId="208" applyFont="1" applyAlignment="1">
      <alignment horizontal="left"/>
    </xf>
    <xf numFmtId="9" fontId="10" fillId="0" borderId="0" xfId="250" quotePrefix="1" applyNumberFormat="1" applyFont="1" applyAlignment="1">
      <alignment horizontal="center"/>
    </xf>
    <xf numFmtId="0" fontId="70" fillId="0" borderId="0" xfId="250" applyFont="1" applyAlignment="1">
      <alignment horizontal="center"/>
    </xf>
    <xf numFmtId="0" fontId="87" fillId="0" borderId="0" xfId="250" applyFont="1" applyAlignment="1">
      <alignment horizontal="center"/>
    </xf>
    <xf numFmtId="38" fontId="13" fillId="0" borderId="0" xfId="208" applyNumberFormat="1" applyAlignment="1">
      <alignment horizontal="right"/>
    </xf>
    <xf numFmtId="37" fontId="13" fillId="0" borderId="0" xfId="208" applyNumberFormat="1" applyAlignment="1">
      <alignment horizontal="right"/>
    </xf>
    <xf numFmtId="0" fontId="13" fillId="0" borderId="0" xfId="208" applyAlignment="1">
      <alignment horizontal="right"/>
    </xf>
    <xf numFmtId="38" fontId="13" fillId="0" borderId="0" xfId="0" applyNumberFormat="1" applyFont="1" applyAlignment="1">
      <alignment horizontal="right"/>
    </xf>
    <xf numFmtId="38" fontId="9" fillId="0" borderId="0" xfId="208" applyNumberFormat="1" applyFont="1"/>
    <xf numFmtId="37" fontId="9" fillId="0" borderId="0" xfId="208" applyNumberFormat="1" applyFont="1"/>
    <xf numFmtId="173" fontId="9" fillId="0" borderId="14" xfId="86" applyNumberFormat="1" applyFont="1" applyFill="1" applyBorder="1" applyAlignment="1" applyProtection="1"/>
    <xf numFmtId="0" fontId="13" fillId="0" borderId="14" xfId="208" applyBorder="1" applyAlignment="1">
      <alignment horizontal="left"/>
    </xf>
    <xf numFmtId="173" fontId="13" fillId="0" borderId="14" xfId="89" applyNumberFormat="1" applyFont="1" applyFill="1" applyBorder="1" applyAlignment="1" applyProtection="1">
      <alignment horizontal="right"/>
    </xf>
    <xf numFmtId="0" fontId="81" fillId="0" borderId="0" xfId="250" applyFont="1"/>
    <xf numFmtId="173" fontId="3" fillId="0" borderId="0" xfId="86" applyNumberFormat="1" applyProtection="1"/>
    <xf numFmtId="173" fontId="3" fillId="0" borderId="0" xfId="86" applyNumberFormat="1" applyFill="1" applyProtection="1"/>
    <xf numFmtId="173" fontId="13" fillId="0" borderId="0" xfId="86" applyNumberFormat="1" applyFont="1" applyFill="1" applyProtection="1"/>
    <xf numFmtId="173" fontId="3" fillId="0" borderId="0" xfId="86" applyNumberFormat="1" applyFont="1" applyFill="1" applyProtection="1"/>
    <xf numFmtId="0" fontId="10" fillId="0" borderId="0" xfId="250" applyFont="1"/>
    <xf numFmtId="38" fontId="13" fillId="0" borderId="17" xfId="0" applyNumberFormat="1" applyFont="1" applyBorder="1"/>
    <xf numFmtId="37" fontId="13" fillId="0" borderId="17" xfId="0" applyNumberFormat="1" applyFont="1" applyBorder="1"/>
    <xf numFmtId="0" fontId="152" fillId="0" borderId="0" xfId="208" applyFont="1"/>
    <xf numFmtId="0" fontId="33" fillId="0" borderId="0" xfId="250" applyFont="1" applyAlignment="1">
      <alignment horizontal="left"/>
    </xf>
    <xf numFmtId="0" fontId="97" fillId="0" borderId="0" xfId="250" applyFont="1" applyAlignment="1">
      <alignment horizontal="center"/>
    </xf>
    <xf numFmtId="0" fontId="98" fillId="0" borderId="0" xfId="250" applyFont="1"/>
    <xf numFmtId="37" fontId="9" fillId="30" borderId="0" xfId="0" applyNumberFormat="1" applyFont="1" applyFill="1" applyProtection="1">
      <protection locked="0"/>
    </xf>
    <xf numFmtId="0" fontId="3" fillId="0" borderId="0" xfId="0" applyFont="1" applyAlignment="1">
      <alignment horizontal="center"/>
    </xf>
    <xf numFmtId="0" fontId="122" fillId="0" borderId="0" xfId="0" applyFont="1" applyAlignment="1">
      <alignment horizontal="center"/>
    </xf>
    <xf numFmtId="0" fontId="122" fillId="0" borderId="0" xfId="0" applyFont="1" applyAlignment="1">
      <alignment horizontal="left"/>
    </xf>
    <xf numFmtId="0" fontId="122" fillId="0" borderId="0" xfId="0" applyFont="1"/>
    <xf numFmtId="0" fontId="0" fillId="0" borderId="11" xfId="0" applyBorder="1"/>
    <xf numFmtId="43" fontId="0" fillId="0" borderId="0" xfId="0" applyNumberFormat="1"/>
    <xf numFmtId="174" fontId="0" fillId="0" borderId="0" xfId="86" applyNumberFormat="1" applyFont="1" applyFill="1" applyProtection="1"/>
    <xf numFmtId="43" fontId="0" fillId="0" borderId="13" xfId="0" applyNumberFormat="1" applyBorder="1"/>
    <xf numFmtId="172" fontId="110" fillId="0" borderId="0" xfId="257" applyFont="1" applyProtection="1"/>
    <xf numFmtId="0" fontId="121" fillId="0" borderId="0" xfId="0" applyFont="1" applyAlignment="1">
      <alignment horizontal="center"/>
    </xf>
    <xf numFmtId="174" fontId="13" fillId="0" borderId="0" xfId="86" applyNumberFormat="1" applyFont="1" applyFill="1" applyProtection="1"/>
    <xf numFmtId="174" fontId="0" fillId="0" borderId="0" xfId="0" applyNumberFormat="1"/>
    <xf numFmtId="43" fontId="9" fillId="30" borderId="0" xfId="0" applyNumberFormat="1" applyFont="1" applyFill="1" applyProtection="1">
      <protection locked="0"/>
    </xf>
    <xf numFmtId="0" fontId="4" fillId="0" borderId="0" xfId="0" applyFont="1"/>
    <xf numFmtId="0" fontId="4" fillId="0" borderId="0" xfId="262" applyFont="1"/>
    <xf numFmtId="0" fontId="4" fillId="0" borderId="0" xfId="262" applyFont="1" applyAlignment="1">
      <alignment horizontal="right"/>
    </xf>
    <xf numFmtId="0" fontId="11" fillId="0" borderId="0" xfId="262" applyFont="1" applyAlignment="1">
      <alignment horizontal="center"/>
    </xf>
    <xf numFmtId="0" fontId="6" fillId="0" borderId="0" xfId="262" applyFont="1"/>
    <xf numFmtId="0" fontId="83" fillId="0" borderId="0" xfId="262" applyFont="1"/>
    <xf numFmtId="0" fontId="27" fillId="0" borderId="0" xfId="0" applyFont="1" applyAlignment="1">
      <alignment horizontal="center"/>
    </xf>
    <xf numFmtId="0" fontId="4" fillId="0" borderId="0" xfId="0" applyFont="1" applyAlignment="1">
      <alignment horizontal="right"/>
    </xf>
    <xf numFmtId="0" fontId="7" fillId="0" borderId="0" xfId="262" applyFont="1"/>
    <xf numFmtId="0" fontId="27" fillId="0" borderId="0" xfId="262" applyFont="1" applyAlignment="1">
      <alignment horizontal="center"/>
    </xf>
    <xf numFmtId="0" fontId="10" fillId="0" borderId="0" xfId="262" applyFont="1" applyAlignment="1">
      <alignment horizontal="center"/>
    </xf>
    <xf numFmtId="0" fontId="10" fillId="0" borderId="0" xfId="262" applyFont="1"/>
    <xf numFmtId="0" fontId="102" fillId="0" borderId="0" xfId="0" applyFont="1"/>
    <xf numFmtId="0" fontId="102" fillId="0" borderId="0" xfId="262" applyFont="1"/>
    <xf numFmtId="0" fontId="13" fillId="0" borderId="0" xfId="262" applyFont="1"/>
    <xf numFmtId="173" fontId="13" fillId="0" borderId="0" xfId="262" applyNumberFormat="1" applyFont="1"/>
    <xf numFmtId="172" fontId="13" fillId="0" borderId="0" xfId="262" applyNumberFormat="1" applyFont="1" applyAlignment="1">
      <alignment horizontal="center"/>
    </xf>
    <xf numFmtId="43" fontId="13" fillId="0" borderId="0" xfId="113" applyFont="1" applyFill="1" applyProtection="1"/>
    <xf numFmtId="0" fontId="95" fillId="0" borderId="0" xfId="262" applyFont="1"/>
    <xf numFmtId="185" fontId="13" fillId="0" borderId="0" xfId="0" applyNumberFormat="1" applyFont="1"/>
    <xf numFmtId="173" fontId="13" fillId="0" borderId="13" xfId="0" applyNumberFormat="1" applyFont="1" applyBorder="1"/>
    <xf numFmtId="173" fontId="13" fillId="0" borderId="13" xfId="262" applyNumberFormat="1" applyFont="1" applyBorder="1"/>
    <xf numFmtId="0" fontId="27" fillId="0" borderId="0" xfId="262" applyFont="1"/>
    <xf numFmtId="43" fontId="6" fillId="0" borderId="0" xfId="113" applyFont="1" applyFill="1" applyProtection="1"/>
    <xf numFmtId="173" fontId="6" fillId="0" borderId="0" xfId="262" applyNumberFormat="1" applyFont="1"/>
    <xf numFmtId="0" fontId="7" fillId="0" borderId="0" xfId="0" applyFont="1" applyAlignment="1">
      <alignment horizontal="center"/>
    </xf>
    <xf numFmtId="173" fontId="9" fillId="30" borderId="0" xfId="113" applyNumberFormat="1" applyFont="1" applyFill="1" applyProtection="1">
      <protection locked="0"/>
    </xf>
    <xf numFmtId="41" fontId="20" fillId="30" borderId="0" xfId="250" applyNumberFormat="1" applyFont="1" applyFill="1" applyProtection="1">
      <protection locked="0"/>
    </xf>
    <xf numFmtId="3" fontId="20" fillId="30" borderId="0" xfId="0" applyNumberFormat="1" applyFont="1" applyFill="1" applyProtection="1">
      <protection locked="0"/>
    </xf>
    <xf numFmtId="41" fontId="28" fillId="30" borderId="0" xfId="250" applyNumberFormat="1" applyFont="1" applyFill="1" applyProtection="1">
      <protection locked="0"/>
    </xf>
    <xf numFmtId="0" fontId="19" fillId="0" borderId="0" xfId="0" applyFont="1"/>
    <xf numFmtId="0" fontId="19" fillId="0" borderId="0" xfId="0" applyFont="1" applyAlignment="1">
      <alignment horizontal="right"/>
    </xf>
    <xf numFmtId="0" fontId="6" fillId="0" borderId="0" xfId="0" applyFont="1" applyAlignment="1">
      <alignment horizontal="center" wrapText="1"/>
    </xf>
    <xf numFmtId="37" fontId="6" fillId="0" borderId="0" xfId="0" applyNumberFormat="1" applyFont="1"/>
    <xf numFmtId="37" fontId="6" fillId="0" borderId="0" xfId="0" applyNumberFormat="1" applyFont="1" applyAlignment="1">
      <alignment horizontal="center"/>
    </xf>
    <xf numFmtId="0" fontId="16" fillId="0" borderId="0" xfId="0" applyFont="1"/>
    <xf numFmtId="10" fontId="6" fillId="0" borderId="0" xfId="0" applyNumberFormat="1" applyFont="1"/>
    <xf numFmtId="176" fontId="6" fillId="0" borderId="0" xfId="0" applyNumberFormat="1" applyFont="1"/>
    <xf numFmtId="10" fontId="6" fillId="0" borderId="14" xfId="0" applyNumberFormat="1" applyFont="1" applyBorder="1"/>
    <xf numFmtId="10" fontId="20" fillId="30" borderId="0" xfId="0" applyNumberFormat="1" applyFont="1" applyFill="1" applyProtection="1">
      <protection locked="0"/>
    </xf>
    <xf numFmtId="10" fontId="20" fillId="30" borderId="11" xfId="0" applyNumberFormat="1" applyFont="1" applyFill="1" applyBorder="1" applyProtection="1">
      <protection locked="0"/>
    </xf>
    <xf numFmtId="0" fontId="6" fillId="0" borderId="0" xfId="258" applyFont="1"/>
    <xf numFmtId="0" fontId="10" fillId="0" borderId="0" xfId="258" applyFont="1"/>
    <xf numFmtId="0" fontId="75" fillId="0" borderId="11" xfId="258" applyFont="1" applyBorder="1" applyAlignment="1">
      <alignment horizontal="center"/>
    </xf>
    <xf numFmtId="0" fontId="10" fillId="0" borderId="0" xfId="258" applyFont="1" applyAlignment="1">
      <alignment horizontal="center"/>
    </xf>
    <xf numFmtId="185" fontId="73" fillId="0" borderId="0" xfId="258" applyNumberFormat="1" applyFont="1"/>
    <xf numFmtId="185" fontId="19" fillId="0" borderId="0" xfId="258" applyNumberFormat="1" applyFont="1"/>
    <xf numFmtId="173" fontId="6" fillId="0" borderId="0" xfId="258" applyNumberFormat="1" applyFont="1"/>
    <xf numFmtId="173" fontId="77" fillId="0" borderId="0" xfId="258" applyNumberFormat="1" applyFont="1"/>
    <xf numFmtId="185" fontId="6" fillId="0" borderId="0" xfId="258" applyNumberFormat="1" applyFont="1"/>
    <xf numFmtId="173" fontId="77" fillId="0" borderId="0" xfId="86" applyNumberFormat="1" applyFont="1" applyProtection="1"/>
    <xf numFmtId="0" fontId="117" fillId="0" borderId="0" xfId="257" applyNumberFormat="1" applyFont="1" applyProtection="1"/>
    <xf numFmtId="173" fontId="118" fillId="0" borderId="0" xfId="258" applyNumberFormat="1" applyFont="1"/>
    <xf numFmtId="185" fontId="119" fillId="0" borderId="0" xfId="258" applyNumberFormat="1" applyFont="1"/>
    <xf numFmtId="173" fontId="118" fillId="0" borderId="0" xfId="86" applyNumberFormat="1" applyFont="1" applyProtection="1"/>
    <xf numFmtId="173" fontId="100" fillId="0" borderId="0" xfId="258" applyNumberFormat="1" applyFont="1"/>
    <xf numFmtId="43" fontId="72" fillId="0" borderId="0" xfId="86" applyFont="1" applyProtection="1"/>
    <xf numFmtId="43" fontId="77" fillId="0" borderId="0" xfId="86" applyFont="1" applyProtection="1"/>
    <xf numFmtId="173" fontId="6" fillId="0" borderId="0" xfId="86" applyNumberFormat="1" applyFont="1" applyProtection="1"/>
    <xf numFmtId="173" fontId="72" fillId="0" borderId="14" xfId="86" applyNumberFormat="1" applyFont="1" applyBorder="1" applyProtection="1"/>
    <xf numFmtId="0" fontId="75" fillId="0" borderId="0" xfId="258" applyFont="1" applyAlignment="1">
      <alignment horizontal="center" wrapText="1"/>
    </xf>
    <xf numFmtId="0" fontId="80" fillId="0" borderId="0" xfId="258" applyFont="1" applyAlignment="1">
      <alignment horizontal="center"/>
    </xf>
    <xf numFmtId="41" fontId="100" fillId="0" borderId="0" xfId="258" applyNumberFormat="1" applyFont="1"/>
    <xf numFmtId="41" fontId="72" fillId="0" borderId="0" xfId="258" applyNumberFormat="1" applyFont="1"/>
    <xf numFmtId="10" fontId="72" fillId="0" borderId="0" xfId="269" applyNumberFormat="1" applyFont="1" applyFill="1" applyProtection="1"/>
    <xf numFmtId="164" fontId="72" fillId="0" borderId="0" xfId="269" applyNumberFormat="1" applyFont="1" applyFill="1" applyProtection="1"/>
    <xf numFmtId="187" fontId="13" fillId="0" borderId="0" xfId="269" applyNumberFormat="1" applyFont="1" applyFill="1" applyProtection="1"/>
    <xf numFmtId="41" fontId="85" fillId="28" borderId="0" xfId="258" applyNumberFormat="1" applyFont="1" applyFill="1"/>
    <xf numFmtId="10" fontId="72" fillId="0" borderId="11" xfId="269" applyNumberFormat="1" applyFont="1" applyFill="1" applyBorder="1" applyProtection="1"/>
    <xf numFmtId="173" fontId="72" fillId="0" borderId="0" xfId="86" applyNumberFormat="1" applyFont="1" applyFill="1" applyProtection="1"/>
    <xf numFmtId="10" fontId="72" fillId="0" borderId="0" xfId="269" applyNumberFormat="1" applyFont="1" applyFill="1" applyBorder="1" applyProtection="1"/>
    <xf numFmtId="173" fontId="72" fillId="0" borderId="0" xfId="86" applyNumberFormat="1" applyFont="1" applyFill="1" applyBorder="1" applyProtection="1"/>
    <xf numFmtId="173" fontId="13" fillId="0" borderId="0" xfId="258" applyNumberFormat="1" applyFont="1"/>
    <xf numFmtId="173" fontId="72" fillId="0" borderId="18" xfId="86" applyNumberFormat="1" applyFont="1" applyFill="1" applyBorder="1" applyProtection="1"/>
    <xf numFmtId="0" fontId="75" fillId="30" borderId="0" xfId="258" applyFont="1" applyFill="1" applyProtection="1">
      <protection locked="0"/>
    </xf>
    <xf numFmtId="0" fontId="100" fillId="30" borderId="0" xfId="258" applyFont="1" applyFill="1" applyProtection="1">
      <protection locked="0"/>
    </xf>
    <xf numFmtId="0" fontId="72" fillId="30" borderId="0" xfId="258" applyFont="1" applyFill="1" applyProtection="1">
      <protection locked="0"/>
    </xf>
    <xf numFmtId="10" fontId="79" fillId="30" borderId="11" xfId="269" applyNumberFormat="1" applyFont="1" applyFill="1" applyBorder="1" applyProtection="1">
      <protection locked="0"/>
    </xf>
    <xf numFmtId="173" fontId="79" fillId="30" borderId="0" xfId="258" applyNumberFormat="1" applyFont="1" applyFill="1" applyProtection="1">
      <protection locked="0"/>
    </xf>
    <xf numFmtId="0" fontId="12" fillId="0" borderId="0" xfId="0" applyFont="1"/>
    <xf numFmtId="0" fontId="19" fillId="0" borderId="0" xfId="0" applyFont="1" applyAlignment="1">
      <alignment horizontal="left"/>
    </xf>
    <xf numFmtId="0" fontId="67" fillId="0" borderId="0" xfId="0" applyFont="1"/>
    <xf numFmtId="0" fontId="0" fillId="0" borderId="0" xfId="0" applyAlignment="1">
      <alignment wrapText="1"/>
    </xf>
    <xf numFmtId="0" fontId="7" fillId="0" borderId="0" xfId="0" applyFont="1" applyAlignment="1">
      <alignment horizontal="left"/>
    </xf>
    <xf numFmtId="0" fontId="13" fillId="0" borderId="0" xfId="257" applyNumberFormat="1" applyFont="1" applyProtection="1"/>
    <xf numFmtId="3" fontId="13" fillId="0" borderId="0" xfId="257" applyNumberFormat="1" applyFont="1" applyProtection="1"/>
    <xf numFmtId="10" fontId="3" fillId="0" borderId="0" xfId="269" applyNumberFormat="1" applyAlignment="1" applyProtection="1">
      <alignment horizontal="right"/>
    </xf>
    <xf numFmtId="172" fontId="13" fillId="0" borderId="0" xfId="257" applyFont="1" applyProtection="1"/>
    <xf numFmtId="10" fontId="13" fillId="0" borderId="0" xfId="269" applyNumberFormat="1" applyFont="1" applyFill="1" applyAlignment="1" applyProtection="1">
      <alignment horizontal="right"/>
    </xf>
    <xf numFmtId="3" fontId="10" fillId="0" borderId="0" xfId="257" applyNumberFormat="1" applyFont="1" applyProtection="1"/>
    <xf numFmtId="10" fontId="13" fillId="0" borderId="0" xfId="257" applyNumberFormat="1" applyFont="1" applyAlignment="1" applyProtection="1">
      <alignment horizontal="right"/>
    </xf>
    <xf numFmtId="3" fontId="14" fillId="0" borderId="0" xfId="257" applyNumberFormat="1" applyFont="1" applyAlignment="1" applyProtection="1">
      <alignment horizontal="center"/>
    </xf>
    <xf numFmtId="10" fontId="14" fillId="0" borderId="0" xfId="257" applyNumberFormat="1" applyFont="1" applyAlignment="1" applyProtection="1">
      <alignment horizontal="center"/>
    </xf>
    <xf numFmtId="0" fontId="13" fillId="0" borderId="0" xfId="257" applyNumberFormat="1" applyFont="1" applyAlignment="1" applyProtection="1">
      <alignment horizontal="right"/>
    </xf>
    <xf numFmtId="10" fontId="0" fillId="0" borderId="0" xfId="0" applyNumberFormat="1" applyAlignment="1">
      <alignment horizontal="center"/>
    </xf>
    <xf numFmtId="164" fontId="13" fillId="0" borderId="0" xfId="269" applyNumberFormat="1" applyFont="1" applyAlignment="1" applyProtection="1"/>
    <xf numFmtId="166" fontId="13" fillId="0" borderId="0" xfId="257" applyNumberFormat="1" applyFont="1" applyAlignment="1" applyProtection="1">
      <alignment horizontal="center"/>
    </xf>
    <xf numFmtId="41" fontId="13" fillId="0" borderId="0" xfId="257" applyNumberFormat="1" applyFont="1" applyProtection="1"/>
    <xf numFmtId="41" fontId="13" fillId="0" borderId="0" xfId="257" applyNumberFormat="1" applyFont="1" applyAlignment="1" applyProtection="1">
      <alignment horizontal="center"/>
    </xf>
    <xf numFmtId="164" fontId="14" fillId="0" borderId="0" xfId="269" applyNumberFormat="1" applyFont="1" applyAlignment="1" applyProtection="1"/>
    <xf numFmtId="3" fontId="13" fillId="0" borderId="0" xfId="257" applyNumberFormat="1" applyFont="1" applyAlignment="1" applyProtection="1">
      <alignment horizontal="right"/>
    </xf>
    <xf numFmtId="172" fontId="3" fillId="0" borderId="19" xfId="257" applyFont="1" applyBorder="1" applyProtection="1"/>
    <xf numFmtId="0" fontId="3" fillId="0" borderId="0" xfId="257" applyNumberFormat="1" applyFont="1" applyAlignment="1" applyProtection="1">
      <alignment horizontal="center"/>
    </xf>
    <xf numFmtId="172" fontId="3" fillId="0" borderId="0" xfId="257" applyFont="1" applyProtection="1"/>
    <xf numFmtId="3" fontId="3" fillId="0" borderId="20" xfId="257" applyNumberFormat="1" applyFont="1" applyBorder="1" applyProtection="1"/>
    <xf numFmtId="10" fontId="13" fillId="0" borderId="0" xfId="257" applyNumberFormat="1" applyFont="1" applyAlignment="1" applyProtection="1">
      <alignment horizontal="left"/>
    </xf>
    <xf numFmtId="0" fontId="3" fillId="0" borderId="19" xfId="0" applyFont="1" applyBorder="1"/>
    <xf numFmtId="0" fontId="3" fillId="0" borderId="20" xfId="0" applyFont="1" applyBorder="1"/>
    <xf numFmtId="166" fontId="3" fillId="0" borderId="21" xfId="257" applyNumberFormat="1" applyFont="1" applyBorder="1" applyAlignment="1" applyProtection="1">
      <alignment horizontal="center"/>
    </xf>
    <xf numFmtId="0" fontId="3" fillId="0" borderId="6" xfId="257" applyNumberFormat="1" applyFont="1" applyBorder="1" applyAlignment="1" applyProtection="1">
      <alignment horizontal="center"/>
    </xf>
    <xf numFmtId="174" fontId="3" fillId="0" borderId="22" xfId="0" applyNumberFormat="1" applyFont="1" applyBorder="1"/>
    <xf numFmtId="41" fontId="3" fillId="0" borderId="0" xfId="257" applyNumberFormat="1" applyFont="1" applyProtection="1"/>
    <xf numFmtId="173" fontId="3" fillId="0" borderId="0" xfId="257" applyNumberFormat="1" applyFont="1" applyAlignment="1" applyProtection="1">
      <alignment horizontal="center"/>
    </xf>
    <xf numFmtId="41" fontId="13" fillId="0" borderId="0" xfId="257" applyNumberFormat="1" applyFont="1" applyAlignment="1" applyProtection="1">
      <alignment horizontal="left"/>
    </xf>
    <xf numFmtId="41" fontId="3" fillId="0" borderId="0" xfId="257" applyNumberFormat="1" applyFont="1" applyAlignment="1" applyProtection="1">
      <alignment horizontal="right"/>
    </xf>
    <xf numFmtId="167" fontId="13" fillId="0" borderId="0" xfId="257" applyNumberFormat="1" applyFont="1" applyProtection="1"/>
    <xf numFmtId="164" fontId="13" fillId="0" borderId="0" xfId="257" applyNumberFormat="1" applyFont="1" applyAlignment="1" applyProtection="1">
      <alignment horizontal="left"/>
    </xf>
    <xf numFmtId="3" fontId="13" fillId="0" borderId="0" xfId="257" applyNumberFormat="1" applyFont="1" applyAlignment="1" applyProtection="1">
      <alignment vertical="center" wrapText="1"/>
    </xf>
    <xf numFmtId="41" fontId="13" fillId="0" borderId="0" xfId="257" applyNumberFormat="1" applyFont="1" applyAlignment="1" applyProtection="1">
      <alignment vertical="center"/>
    </xf>
    <xf numFmtId="41" fontId="13" fillId="0" borderId="0" xfId="257" applyNumberFormat="1" applyFont="1" applyAlignment="1" applyProtection="1">
      <alignment horizontal="center" vertical="center"/>
    </xf>
    <xf numFmtId="41" fontId="13" fillId="0" borderId="0" xfId="257" applyNumberFormat="1" applyFont="1" applyAlignment="1" applyProtection="1">
      <alignment horizontal="right"/>
    </xf>
    <xf numFmtId="10" fontId="13" fillId="0" borderId="0" xfId="0" applyNumberFormat="1" applyFont="1"/>
    <xf numFmtId="173" fontId="13" fillId="0" borderId="0" xfId="86" applyNumberFormat="1" applyFont="1" applyProtection="1"/>
    <xf numFmtId="41" fontId="13" fillId="0" borderId="0" xfId="0" applyNumberFormat="1" applyFont="1"/>
    <xf numFmtId="41" fontId="13" fillId="0" borderId="6" xfId="257" applyNumberFormat="1" applyFont="1" applyBorder="1" applyProtection="1"/>
    <xf numFmtId="0" fontId="13" fillId="32" borderId="0" xfId="257" applyNumberFormat="1" applyFont="1" applyFill="1" applyProtection="1"/>
    <xf numFmtId="41" fontId="14" fillId="0" borderId="0" xfId="257" applyNumberFormat="1" applyFont="1" applyProtection="1"/>
    <xf numFmtId="3" fontId="13" fillId="0" borderId="0" xfId="257" applyNumberFormat="1" applyFont="1" applyAlignment="1" applyProtection="1">
      <alignment horizontal="center"/>
    </xf>
    <xf numFmtId="0" fontId="13" fillId="0" borderId="0" xfId="257" applyNumberFormat="1" applyFont="1" applyAlignment="1" applyProtection="1">
      <alignment horizontal="center"/>
    </xf>
    <xf numFmtId="10" fontId="13" fillId="0" borderId="0" xfId="257" applyNumberFormat="1" applyFont="1" applyProtection="1"/>
    <xf numFmtId="169" fontId="13" fillId="0" borderId="0" xfId="257" applyNumberFormat="1" applyFont="1" applyProtection="1"/>
    <xf numFmtId="169" fontId="10" fillId="0" borderId="0" xfId="257" applyNumberFormat="1" applyFont="1" applyProtection="1"/>
    <xf numFmtId="41" fontId="14" fillId="0" borderId="0" xfId="0" applyNumberFormat="1" applyFont="1"/>
    <xf numFmtId="4" fontId="13" fillId="0" borderId="0" xfId="257" applyNumberFormat="1" applyFont="1" applyProtection="1"/>
    <xf numFmtId="10" fontId="14" fillId="0" borderId="0" xfId="0" applyNumberFormat="1" applyFont="1"/>
    <xf numFmtId="173" fontId="13" fillId="0" borderId="0" xfId="86" applyNumberFormat="1" applyFont="1" applyBorder="1" applyProtection="1"/>
    <xf numFmtId="43" fontId="13" fillId="0" borderId="0" xfId="86" applyFont="1" applyProtection="1"/>
    <xf numFmtId="43" fontId="13" fillId="0" borderId="0" xfId="86" applyFont="1" applyFill="1" applyProtection="1"/>
    <xf numFmtId="173" fontId="13" fillId="0" borderId="0" xfId="0" applyNumberFormat="1" applyFont="1"/>
    <xf numFmtId="0" fontId="69" fillId="0" borderId="0" xfId="0" applyFont="1"/>
    <xf numFmtId="0" fontId="13" fillId="27" borderId="0" xfId="0" applyFont="1" applyFill="1"/>
    <xf numFmtId="0" fontId="10" fillId="0" borderId="23" xfId="0" applyFont="1" applyBorder="1"/>
    <xf numFmtId="0" fontId="10" fillId="0" borderId="17" xfId="0" applyFont="1" applyBorder="1"/>
    <xf numFmtId="0" fontId="13" fillId="0" borderId="17" xfId="0" applyFont="1" applyBorder="1"/>
    <xf numFmtId="173" fontId="10" fillId="0" borderId="24" xfId="86" applyNumberFormat="1" applyFont="1" applyBorder="1" applyProtection="1"/>
    <xf numFmtId="0" fontId="6" fillId="0" borderId="0" xfId="86" applyNumberFormat="1" applyFont="1" applyFill="1" applyAlignment="1" applyProtection="1">
      <alignment horizontal="left"/>
    </xf>
    <xf numFmtId="0" fontId="6" fillId="0" borderId="0" xfId="86" applyNumberFormat="1" applyFont="1" applyFill="1" applyBorder="1" applyAlignment="1" applyProtection="1">
      <alignment horizontal="left"/>
    </xf>
    <xf numFmtId="0" fontId="10" fillId="0" borderId="19" xfId="0" applyFont="1" applyBorder="1"/>
    <xf numFmtId="0" fontId="7" fillId="0" borderId="0" xfId="86" applyNumberFormat="1" applyFont="1" applyFill="1" applyBorder="1" applyAlignment="1" applyProtection="1">
      <alignment horizontal="left"/>
    </xf>
    <xf numFmtId="173" fontId="10" fillId="0" borderId="25" xfId="86" applyNumberFormat="1" applyFont="1" applyBorder="1" applyProtection="1"/>
    <xf numFmtId="0" fontId="10" fillId="0" borderId="0" xfId="0" applyFont="1"/>
    <xf numFmtId="173" fontId="10" fillId="0" borderId="21" xfId="86" applyNumberFormat="1" applyFont="1" applyBorder="1" applyProtection="1"/>
    <xf numFmtId="173" fontId="13" fillId="0" borderId="6" xfId="86" applyNumberFormat="1" applyFont="1" applyBorder="1" applyProtection="1"/>
    <xf numFmtId="173" fontId="13" fillId="0" borderId="22" xfId="86" applyNumberFormat="1" applyFont="1" applyBorder="1" applyProtection="1"/>
    <xf numFmtId="0" fontId="8" fillId="0" borderId="0" xfId="0" applyFont="1"/>
    <xf numFmtId="173" fontId="23" fillId="0" borderId="0" xfId="0" applyNumberFormat="1" applyFont="1" applyAlignment="1">
      <alignment horizontal="left"/>
    </xf>
    <xf numFmtId="0" fontId="13" fillId="0" borderId="0" xfId="0" applyFont="1" applyAlignment="1">
      <alignment wrapText="1"/>
    </xf>
    <xf numFmtId="0" fontId="13" fillId="0" borderId="26" xfId="0" applyFont="1" applyBorder="1" applyAlignment="1">
      <alignment horizontal="center"/>
    </xf>
    <xf numFmtId="0" fontId="0" fillId="0" borderId="27" xfId="0" applyBorder="1"/>
    <xf numFmtId="0" fontId="0" fillId="0" borderId="28" xfId="0" applyBorder="1"/>
    <xf numFmtId="0" fontId="13" fillId="0" borderId="19" xfId="0" applyFont="1" applyBorder="1"/>
    <xf numFmtId="0" fontId="10" fillId="0" borderId="24" xfId="0" applyFont="1" applyBorder="1" applyAlignment="1">
      <alignment horizontal="center"/>
    </xf>
    <xf numFmtId="173" fontId="13" fillId="0" borderId="0" xfId="0" applyNumberFormat="1" applyFont="1" applyAlignment="1">
      <alignment horizontal="right"/>
    </xf>
    <xf numFmtId="10" fontId="13" fillId="0" borderId="20" xfId="0" applyNumberFormat="1" applyFont="1" applyBorder="1"/>
    <xf numFmtId="173" fontId="13" fillId="0" borderId="20" xfId="0" applyNumberFormat="1" applyFont="1" applyBorder="1" applyAlignment="1">
      <alignment horizontal="right"/>
    </xf>
    <xf numFmtId="0" fontId="13" fillId="0" borderId="21" xfId="0" applyFont="1" applyBorder="1"/>
    <xf numFmtId="0" fontId="13" fillId="0" borderId="6" xfId="0" applyFont="1" applyBorder="1" applyAlignment="1">
      <alignment horizontal="center"/>
    </xf>
    <xf numFmtId="0" fontId="0" fillId="0" borderId="6" xfId="0" applyBorder="1"/>
    <xf numFmtId="0" fontId="10" fillId="0" borderId="29" xfId="0" applyFont="1" applyBorder="1" applyAlignment="1">
      <alignment horizontal="center" wrapText="1"/>
    </xf>
    <xf numFmtId="173" fontId="10" fillId="0" borderId="0" xfId="86" applyNumberFormat="1" applyFont="1" applyBorder="1" applyAlignment="1" applyProtection="1">
      <alignment horizontal="center" wrapText="1"/>
    </xf>
    <xf numFmtId="173" fontId="10" fillId="0" borderId="29" xfId="86" applyNumberFormat="1" applyFont="1" applyBorder="1" applyAlignment="1" applyProtection="1">
      <alignment horizontal="center" wrapText="1"/>
    </xf>
    <xf numFmtId="173" fontId="10" fillId="0" borderId="24" xfId="86" applyNumberFormat="1" applyFont="1" applyBorder="1" applyAlignment="1" applyProtection="1">
      <alignment horizontal="center" wrapText="1"/>
    </xf>
    <xf numFmtId="0" fontId="10" fillId="0" borderId="30" xfId="0" applyFont="1" applyBorder="1" applyAlignment="1">
      <alignment horizontal="center" wrapText="1"/>
    </xf>
    <xf numFmtId="173" fontId="10" fillId="29" borderId="29" xfId="86" applyNumberFormat="1" applyFont="1" applyFill="1" applyBorder="1" applyAlignment="1" applyProtection="1">
      <alignment horizontal="center" wrapText="1"/>
    </xf>
    <xf numFmtId="0" fontId="10" fillId="0" borderId="31" xfId="0" applyFont="1" applyBorder="1" applyAlignment="1">
      <alignment horizontal="center"/>
    </xf>
    <xf numFmtId="0" fontId="10" fillId="0" borderId="6" xfId="0" applyFont="1" applyBorder="1" applyAlignment="1">
      <alignment horizontal="center"/>
    </xf>
    <xf numFmtId="173" fontId="10" fillId="0" borderId="31" xfId="86" applyNumberFormat="1" applyFont="1" applyBorder="1" applyAlignment="1" applyProtection="1">
      <alignment horizontal="center"/>
    </xf>
    <xf numFmtId="173" fontId="10" fillId="0" borderId="22" xfId="86" applyNumberFormat="1" applyFont="1" applyBorder="1" applyAlignment="1" applyProtection="1">
      <alignment horizontal="center"/>
    </xf>
    <xf numFmtId="0" fontId="10" fillId="0" borderId="30" xfId="0" applyFont="1" applyBorder="1" applyAlignment="1">
      <alignment horizontal="center"/>
    </xf>
    <xf numFmtId="173" fontId="10" fillId="29" borderId="31" xfId="86" applyNumberFormat="1" applyFont="1" applyFill="1" applyBorder="1" applyAlignment="1" applyProtection="1">
      <alignment horizontal="center"/>
    </xf>
    <xf numFmtId="0" fontId="13" fillId="0" borderId="30" xfId="0" applyFont="1" applyBorder="1" applyAlignment="1">
      <alignment horizontal="center"/>
    </xf>
    <xf numFmtId="173" fontId="13" fillId="0" borderId="30" xfId="0" applyNumberFormat="1" applyFont="1" applyBorder="1"/>
    <xf numFmtId="173" fontId="13" fillId="0" borderId="30" xfId="86" applyNumberFormat="1" applyFont="1" applyFill="1" applyBorder="1" applyProtection="1"/>
    <xf numFmtId="173" fontId="13" fillId="0" borderId="20" xfId="86" applyNumberFormat="1" applyFont="1" applyFill="1" applyBorder="1" applyProtection="1"/>
    <xf numFmtId="174" fontId="13" fillId="0" borderId="30" xfId="0" applyNumberFormat="1" applyFont="1" applyBorder="1"/>
    <xf numFmtId="174" fontId="13" fillId="29" borderId="29" xfId="0" applyNumberFormat="1" applyFont="1" applyFill="1" applyBorder="1"/>
    <xf numFmtId="173" fontId="13" fillId="0" borderId="30" xfId="86" applyNumberFormat="1" applyFont="1" applyBorder="1" applyProtection="1"/>
    <xf numFmtId="173" fontId="13" fillId="0" borderId="20" xfId="86" applyNumberFormat="1" applyFont="1" applyBorder="1" applyProtection="1"/>
    <xf numFmtId="174" fontId="13" fillId="29" borderId="30" xfId="0" applyNumberFormat="1" applyFont="1" applyFill="1" applyBorder="1"/>
    <xf numFmtId="174" fontId="13" fillId="29" borderId="30" xfId="0" applyNumberFormat="1" applyFont="1" applyFill="1" applyBorder="1" applyAlignment="1">
      <alignment wrapText="1"/>
    </xf>
    <xf numFmtId="0" fontId="13" fillId="0" borderId="31" xfId="0" applyFont="1" applyBorder="1" applyAlignment="1">
      <alignment horizontal="center"/>
    </xf>
    <xf numFmtId="173" fontId="13" fillId="0" borderId="6" xfId="0" applyNumberFormat="1" applyFont="1" applyBorder="1"/>
    <xf numFmtId="173" fontId="13" fillId="0" borderId="31" xfId="0" applyNumberFormat="1" applyFont="1" applyBorder="1"/>
    <xf numFmtId="173" fontId="13" fillId="0" borderId="31" xfId="86" applyNumberFormat="1" applyFont="1" applyBorder="1" applyProtection="1"/>
    <xf numFmtId="174" fontId="13" fillId="0" borderId="31" xfId="0" applyNumberFormat="1" applyFont="1" applyBorder="1"/>
    <xf numFmtId="174" fontId="13" fillId="29" borderId="31" xfId="0" applyNumberFormat="1" applyFont="1" applyFill="1" applyBorder="1"/>
    <xf numFmtId="174" fontId="13" fillId="0" borderId="0" xfId="0" applyNumberFormat="1" applyFont="1"/>
    <xf numFmtId="0" fontId="9" fillId="30" borderId="0" xfId="86" applyNumberFormat="1" applyFont="1" applyFill="1" applyAlignment="1" applyProtection="1">
      <protection locked="0"/>
    </xf>
    <xf numFmtId="0" fontId="20" fillId="30" borderId="0" xfId="86" applyNumberFormat="1" applyFont="1" applyFill="1" applyAlignment="1" applyProtection="1">
      <alignment horizontal="left"/>
      <protection locked="0"/>
    </xf>
    <xf numFmtId="0" fontId="153" fillId="30" borderId="22" xfId="0" applyFont="1" applyFill="1" applyBorder="1" applyAlignment="1" applyProtection="1">
      <alignment horizontal="right"/>
      <protection locked="0"/>
    </xf>
    <xf numFmtId="173" fontId="153" fillId="30" borderId="20" xfId="86" applyNumberFormat="1" applyFont="1" applyFill="1" applyBorder="1" applyAlignment="1" applyProtection="1">
      <alignment horizontal="right"/>
      <protection locked="0"/>
    </xf>
    <xf numFmtId="0" fontId="153" fillId="30" borderId="20" xfId="0" applyFont="1" applyFill="1" applyBorder="1" applyAlignment="1" applyProtection="1">
      <alignment horizontal="right"/>
      <protection locked="0"/>
    </xf>
    <xf numFmtId="173" fontId="9" fillId="0" borderId="20" xfId="0" applyNumberFormat="1" applyFont="1" applyBorder="1" applyAlignment="1">
      <alignment horizontal="right"/>
    </xf>
    <xf numFmtId="174" fontId="9" fillId="30" borderId="29" xfId="0" applyNumberFormat="1" applyFont="1" applyFill="1" applyBorder="1" applyProtection="1">
      <protection locked="0"/>
    </xf>
    <xf numFmtId="174" fontId="9" fillId="30" borderId="30" xfId="0" applyNumberFormat="1" applyFont="1" applyFill="1" applyBorder="1" applyProtection="1">
      <protection locked="0"/>
    </xf>
    <xf numFmtId="174" fontId="9" fillId="30" borderId="31" xfId="0" applyNumberFormat="1" applyFont="1" applyFill="1" applyBorder="1" applyProtection="1">
      <protection locked="0"/>
    </xf>
    <xf numFmtId="10" fontId="0" fillId="0" borderId="0" xfId="269" applyNumberFormat="1" applyFont="1" applyAlignment="1" applyProtection="1">
      <alignment horizontal="right"/>
    </xf>
    <xf numFmtId="172" fontId="13" fillId="0" borderId="23" xfId="257" applyFont="1" applyBorder="1" applyProtection="1"/>
    <xf numFmtId="172" fontId="13" fillId="0" borderId="17" xfId="257" applyFont="1" applyBorder="1" applyProtection="1"/>
    <xf numFmtId="3" fontId="13" fillId="0" borderId="24" xfId="257" applyNumberFormat="1" applyFont="1" applyBorder="1" applyProtection="1"/>
    <xf numFmtId="172" fontId="13" fillId="0" borderId="19" xfId="257" applyFont="1" applyBorder="1" applyProtection="1"/>
    <xf numFmtId="3" fontId="13" fillId="0" borderId="20" xfId="257" applyNumberFormat="1" applyFont="1" applyBorder="1" applyProtection="1"/>
    <xf numFmtId="0" fontId="13" fillId="0" borderId="0" xfId="257" quotePrefix="1" applyNumberFormat="1" applyFont="1" applyAlignment="1" applyProtection="1">
      <alignment horizontal="center"/>
    </xf>
    <xf numFmtId="0" fontId="13" fillId="0" borderId="20" xfId="0" applyFont="1" applyBorder="1"/>
    <xf numFmtId="10" fontId="33" fillId="0" borderId="0" xfId="0" applyNumberFormat="1" applyFont="1" applyAlignment="1">
      <alignment horizontal="center"/>
    </xf>
    <xf numFmtId="174" fontId="13" fillId="0" borderId="20" xfId="0" applyNumberFormat="1" applyFont="1" applyBorder="1"/>
    <xf numFmtId="174" fontId="13" fillId="0" borderId="22" xfId="0" applyNumberFormat="1" applyFont="1" applyBorder="1"/>
    <xf numFmtId="173" fontId="13" fillId="0" borderId="24" xfId="0" applyNumberFormat="1" applyFont="1" applyBorder="1"/>
    <xf numFmtId="166" fontId="13" fillId="0" borderId="21" xfId="257" applyNumberFormat="1" applyFont="1" applyBorder="1" applyAlignment="1" applyProtection="1">
      <alignment horizontal="center"/>
    </xf>
    <xf numFmtId="0" fontId="13" fillId="0" borderId="6" xfId="257" applyNumberFormat="1" applyFont="1" applyBorder="1" applyAlignment="1" applyProtection="1">
      <alignment horizontal="center"/>
    </xf>
    <xf numFmtId="173" fontId="13" fillId="0" borderId="6" xfId="257" quotePrefix="1" applyNumberFormat="1" applyFont="1" applyBorder="1" applyAlignment="1" applyProtection="1">
      <alignment horizontal="center"/>
    </xf>
    <xf numFmtId="41" fontId="13" fillId="0" borderId="11" xfId="257" applyNumberFormat="1" applyFont="1" applyBorder="1" applyProtection="1"/>
    <xf numFmtId="10" fontId="13" fillId="0" borderId="0" xfId="269" applyNumberFormat="1" applyFont="1" applyFill="1" applyBorder="1" applyAlignment="1" applyProtection="1"/>
    <xf numFmtId="173" fontId="13" fillId="0" borderId="0" xfId="86" applyNumberFormat="1" applyFont="1" applyFill="1" applyBorder="1" applyProtection="1"/>
    <xf numFmtId="182" fontId="13" fillId="0" borderId="0" xfId="86" applyNumberFormat="1" applyFont="1" applyProtection="1"/>
    <xf numFmtId="0" fontId="10" fillId="0" borderId="23" xfId="0" applyFont="1" applyBorder="1" applyAlignment="1">
      <alignment horizontal="center"/>
    </xf>
    <xf numFmtId="173" fontId="13" fillId="0" borderId="19" xfId="86" applyNumberFormat="1" applyFont="1" applyBorder="1" applyProtection="1"/>
    <xf numFmtId="173" fontId="10" fillId="0" borderId="0" xfId="86" applyNumberFormat="1" applyFont="1" applyBorder="1" applyProtection="1"/>
    <xf numFmtId="173" fontId="13" fillId="0" borderId="20" xfId="0" applyNumberFormat="1" applyFont="1" applyBorder="1"/>
    <xf numFmtId="173" fontId="10" fillId="0" borderId="11" xfId="86" applyNumberFormat="1" applyFont="1" applyBorder="1" applyProtection="1"/>
    <xf numFmtId="173" fontId="13" fillId="0" borderId="25" xfId="0" applyNumberFormat="1" applyFont="1" applyBorder="1"/>
    <xf numFmtId="173" fontId="10" fillId="0" borderId="6" xfId="86" applyNumberFormat="1" applyFont="1" applyFill="1" applyBorder="1" applyAlignment="1" applyProtection="1">
      <alignment horizontal="left"/>
    </xf>
    <xf numFmtId="173" fontId="10" fillId="0" borderId="22" xfId="86" applyNumberFormat="1" applyFont="1" applyFill="1" applyBorder="1" applyAlignment="1" applyProtection="1">
      <alignment horizontal="left"/>
    </xf>
    <xf numFmtId="173" fontId="13" fillId="0" borderId="29" xfId="0" applyNumberFormat="1" applyFont="1" applyBorder="1"/>
    <xf numFmtId="174" fontId="13" fillId="0" borderId="29" xfId="0" applyNumberFormat="1" applyFont="1" applyBorder="1"/>
    <xf numFmtId="0" fontId="91" fillId="0" borderId="0" xfId="250" applyFont="1"/>
    <xf numFmtId="173" fontId="9" fillId="30" borderId="0" xfId="86" applyNumberFormat="1" applyFont="1" applyFill="1" applyBorder="1" applyProtection="1">
      <protection locked="0"/>
    </xf>
    <xf numFmtId="10" fontId="9" fillId="30" borderId="0" xfId="269" applyNumberFormat="1" applyFont="1" applyFill="1" applyAlignment="1" applyProtection="1">
      <alignment horizontal="right" wrapText="1"/>
      <protection locked="0"/>
    </xf>
    <xf numFmtId="44" fontId="9" fillId="30" borderId="0" xfId="116" applyFont="1" applyFill="1" applyAlignment="1" applyProtection="1">
      <alignment horizontal="right" wrapText="1"/>
      <protection locked="0"/>
    </xf>
    <xf numFmtId="173" fontId="21" fillId="30" borderId="0" xfId="86" applyNumberFormat="1" applyFont="1" applyFill="1" applyProtection="1">
      <protection locked="0"/>
    </xf>
    <xf numFmtId="191" fontId="21" fillId="30" borderId="0" xfId="0" applyNumberFormat="1" applyFont="1" applyFill="1" applyProtection="1">
      <protection locked="0"/>
    </xf>
    <xf numFmtId="0" fontId="0" fillId="30" borderId="0" xfId="0" applyFill="1" applyAlignment="1" applyProtection="1">
      <alignment horizontal="center"/>
      <protection locked="0"/>
    </xf>
    <xf numFmtId="0" fontId="21" fillId="30" borderId="0" xfId="0" applyFont="1" applyFill="1" applyProtection="1">
      <protection locked="0"/>
    </xf>
    <xf numFmtId="0" fontId="103" fillId="0" borderId="0" xfId="260" applyFont="1"/>
    <xf numFmtId="0" fontId="4" fillId="0" borderId="0" xfId="260"/>
    <xf numFmtId="0" fontId="104" fillId="0" borderId="0" xfId="260" applyFont="1"/>
    <xf numFmtId="0" fontId="105" fillId="0" borderId="0" xfId="260" applyFont="1" applyAlignment="1">
      <alignment horizontal="center"/>
    </xf>
    <xf numFmtId="0" fontId="114" fillId="0" borderId="0" xfId="260" applyFont="1" applyAlignment="1">
      <alignment horizontal="center"/>
    </xf>
    <xf numFmtId="0" fontId="4" fillId="0" borderId="0" xfId="260" applyAlignment="1">
      <alignment horizontal="center"/>
    </xf>
    <xf numFmtId="0" fontId="106" fillId="0" borderId="15" xfId="260" applyFont="1" applyBorder="1"/>
    <xf numFmtId="0" fontId="104" fillId="0" borderId="15" xfId="260" applyFont="1" applyBorder="1"/>
    <xf numFmtId="0" fontId="106" fillId="0" borderId="0" xfId="260" applyFont="1"/>
    <xf numFmtId="192" fontId="4" fillId="0" borderId="0" xfId="260" applyNumberFormat="1"/>
    <xf numFmtId="0" fontId="4" fillId="0" borderId="0" xfId="260" applyAlignment="1">
      <alignment wrapText="1"/>
    </xf>
    <xf numFmtId="0" fontId="107" fillId="0" borderId="32" xfId="260" applyFont="1" applyBorder="1"/>
    <xf numFmtId="0" fontId="83" fillId="0" borderId="2" xfId="260" applyFont="1" applyBorder="1" applyAlignment="1">
      <alignment horizontal="center"/>
    </xf>
    <xf numFmtId="0" fontId="83" fillId="0" borderId="33" xfId="260" applyFont="1" applyBorder="1" applyAlignment="1">
      <alignment horizontal="center"/>
    </xf>
    <xf numFmtId="0" fontId="4" fillId="0" borderId="34" xfId="260" applyBorder="1"/>
    <xf numFmtId="3" fontId="4" fillId="0" borderId="0" xfId="260" applyNumberFormat="1"/>
    <xf numFmtId="3" fontId="4" fillId="0" borderId="35" xfId="260" applyNumberFormat="1" applyBorder="1"/>
    <xf numFmtId="0" fontId="6" fillId="0" borderId="34" xfId="260" applyFont="1" applyBorder="1"/>
    <xf numFmtId="0" fontId="4" fillId="0" borderId="36" xfId="260" applyBorder="1"/>
    <xf numFmtId="10" fontId="4" fillId="0" borderId="11" xfId="269" applyNumberFormat="1" applyFont="1" applyFill="1" applyBorder="1" applyAlignment="1" applyProtection="1">
      <alignment horizontal="center"/>
    </xf>
    <xf numFmtId="10" fontId="78" fillId="0" borderId="37" xfId="269" applyNumberFormat="1" applyFont="1" applyFill="1" applyBorder="1" applyAlignment="1" applyProtection="1">
      <alignment horizontal="center"/>
    </xf>
    <xf numFmtId="0" fontId="13" fillId="0" borderId="0" xfId="264" applyFont="1"/>
    <xf numFmtId="0" fontId="10" fillId="0" borderId="0" xfId="264" applyFont="1" applyAlignment="1">
      <alignment horizontal="center" wrapText="1"/>
    </xf>
    <xf numFmtId="173" fontId="13" fillId="0" borderId="11" xfId="86" applyNumberFormat="1" applyFont="1" applyFill="1" applyBorder="1" applyAlignment="1" applyProtection="1"/>
    <xf numFmtId="173" fontId="13" fillId="0" borderId="0" xfId="86" applyNumberFormat="1" applyFont="1" applyFill="1" applyBorder="1" applyAlignment="1" applyProtection="1"/>
    <xf numFmtId="0" fontId="13" fillId="0" borderId="0" xfId="250" applyFont="1" applyAlignment="1">
      <alignment horizontal="left" vertical="top" wrapText="1"/>
    </xf>
    <xf numFmtId="0" fontId="111" fillId="0" borderId="0" xfId="264"/>
    <xf numFmtId="0" fontId="10" fillId="0" borderId="0" xfId="264" applyFont="1"/>
    <xf numFmtId="173" fontId="13" fillId="0" borderId="0" xfId="264" applyNumberFormat="1" applyFont="1"/>
    <xf numFmtId="0" fontId="13" fillId="0" borderId="0" xfId="264" applyFont="1" applyAlignment="1">
      <alignment vertical="top" wrapText="1"/>
    </xf>
    <xf numFmtId="10" fontId="13" fillId="0" borderId="0" xfId="264" applyNumberFormat="1" applyFont="1"/>
    <xf numFmtId="44" fontId="13" fillId="0" borderId="0" xfId="264" applyNumberFormat="1" applyFont="1"/>
    <xf numFmtId="0" fontId="115" fillId="0" borderId="0" xfId="264" applyFont="1"/>
    <xf numFmtId="173" fontId="13" fillId="0" borderId="11" xfId="264" applyNumberFormat="1" applyFont="1" applyBorder="1"/>
    <xf numFmtId="10" fontId="13" fillId="0" borderId="0" xfId="269" applyNumberFormat="1" applyFont="1" applyProtection="1"/>
    <xf numFmtId="10" fontId="13" fillId="0" borderId="0" xfId="269" applyNumberFormat="1" applyFont="1" applyFill="1" applyProtection="1"/>
    <xf numFmtId="10" fontId="13" fillId="32" borderId="0" xfId="269" applyNumberFormat="1" applyFont="1" applyFill="1" applyProtection="1"/>
    <xf numFmtId="10" fontId="13" fillId="0" borderId="11" xfId="269" applyNumberFormat="1" applyFont="1" applyBorder="1" applyProtection="1"/>
    <xf numFmtId="10" fontId="10" fillId="0" borderId="0" xfId="269" applyNumberFormat="1" applyFont="1" applyProtection="1"/>
    <xf numFmtId="173" fontId="13" fillId="0" borderId="11" xfId="86" applyNumberFormat="1" applyFont="1" applyFill="1" applyBorder="1" applyProtection="1"/>
    <xf numFmtId="0" fontId="116" fillId="0" borderId="0" xfId="264" applyFont="1"/>
    <xf numFmtId="0" fontId="95" fillId="0" borderId="0" xfId="264" applyFont="1"/>
    <xf numFmtId="43" fontId="13" fillId="0" borderId="0" xfId="264" applyNumberFormat="1" applyFont="1"/>
    <xf numFmtId="10" fontId="13" fillId="0" borderId="11" xfId="269" applyNumberFormat="1" applyFont="1" applyFill="1" applyBorder="1" applyProtection="1"/>
    <xf numFmtId="10" fontId="95" fillId="0" borderId="0" xfId="269" applyNumberFormat="1" applyFont="1" applyFill="1" applyProtection="1"/>
    <xf numFmtId="10" fontId="13" fillId="30" borderId="0" xfId="269" applyNumberFormat="1" applyFont="1" applyFill="1" applyAlignment="1" applyProtection="1">
      <alignment horizontal="right" wrapText="1"/>
      <protection locked="0"/>
    </xf>
    <xf numFmtId="164" fontId="9" fillId="30" borderId="0" xfId="269" applyNumberFormat="1" applyFont="1" applyFill="1" applyAlignment="1" applyProtection="1">
      <alignment horizontal="right" wrapText="1"/>
      <protection locked="0"/>
    </xf>
    <xf numFmtId="44" fontId="13" fillId="30" borderId="0" xfId="116" applyFont="1" applyFill="1" applyAlignment="1" applyProtection="1">
      <alignment horizontal="right" wrapText="1"/>
      <protection locked="0"/>
    </xf>
    <xf numFmtId="173" fontId="13" fillId="30" borderId="0" xfId="86" applyNumberFormat="1" applyFont="1" applyFill="1" applyProtection="1">
      <protection locked="0"/>
    </xf>
    <xf numFmtId="170" fontId="123" fillId="30" borderId="31" xfId="0" applyNumberFormat="1" applyFont="1" applyFill="1" applyBorder="1" applyAlignment="1" applyProtection="1">
      <alignment horizontal="center"/>
      <protection locked="0"/>
    </xf>
    <xf numFmtId="0" fontId="123" fillId="0" borderId="0" xfId="0" applyFont="1" applyAlignment="1">
      <alignment horizontal="left"/>
    </xf>
    <xf numFmtId="0" fontId="123" fillId="0" borderId="0" xfId="0" applyFont="1"/>
    <xf numFmtId="0" fontId="123" fillId="0" borderId="29" xfId="0" applyFont="1" applyBorder="1" applyAlignment="1">
      <alignment horizontal="center" wrapText="1"/>
    </xf>
    <xf numFmtId="0" fontId="123" fillId="0" borderId="30" xfId="0" applyFont="1" applyBorder="1" applyAlignment="1">
      <alignment horizontal="center" wrapText="1"/>
    </xf>
    <xf numFmtId="0" fontId="123" fillId="0" borderId="30" xfId="0" applyFont="1" applyBorder="1"/>
    <xf numFmtId="170" fontId="123" fillId="0" borderId="0" xfId="0" applyNumberFormat="1" applyFont="1" applyAlignment="1">
      <alignment horizontal="center"/>
    </xf>
    <xf numFmtId="170" fontId="123" fillId="0" borderId="0" xfId="0" applyNumberFormat="1" applyFont="1"/>
    <xf numFmtId="170" fontId="6" fillId="0" borderId="0" xfId="0" applyNumberFormat="1" applyFont="1"/>
    <xf numFmtId="5" fontId="123" fillId="0" borderId="31" xfId="0" applyNumberFormat="1" applyFont="1" applyBorder="1" applyAlignment="1">
      <alignment horizontal="center"/>
    </xf>
    <xf numFmtId="173" fontId="123" fillId="0" borderId="0" xfId="0" applyNumberFormat="1" applyFont="1"/>
    <xf numFmtId="0" fontId="123" fillId="0" borderId="0" xfId="0" applyFont="1" applyAlignment="1">
      <alignment horizontal="center"/>
    </xf>
    <xf numFmtId="173" fontId="123" fillId="0" borderId="6" xfId="0" applyNumberFormat="1" applyFont="1" applyBorder="1"/>
    <xf numFmtId="0" fontId="123" fillId="0" borderId="6" xfId="0" applyFont="1" applyBorder="1" applyAlignment="1">
      <alignment horizontal="center"/>
    </xf>
    <xf numFmtId="0" fontId="6" fillId="0" borderId="6" xfId="0" applyFont="1" applyBorder="1"/>
    <xf numFmtId="173" fontId="123" fillId="0" borderId="0" xfId="0" applyNumberFormat="1" applyFont="1" applyAlignment="1">
      <alignment horizontal="left"/>
    </xf>
    <xf numFmtId="0" fontId="124" fillId="0" borderId="0" xfId="0" applyFont="1" applyAlignment="1">
      <alignment horizontal="left"/>
    </xf>
    <xf numFmtId="0" fontId="124" fillId="0" borderId="0" xfId="0" applyFont="1" applyAlignment="1">
      <alignment horizontal="center" wrapText="1"/>
    </xf>
    <xf numFmtId="0" fontId="124" fillId="0" borderId="0" xfId="0" applyFont="1" applyAlignment="1">
      <alignment horizontal="center"/>
    </xf>
    <xf numFmtId="173" fontId="124" fillId="0" borderId="0" xfId="0" applyNumberFormat="1" applyFont="1" applyAlignment="1">
      <alignment horizontal="center" wrapText="1"/>
    </xf>
    <xf numFmtId="173" fontId="124" fillId="0" borderId="0" xfId="0" applyNumberFormat="1" applyFont="1" applyAlignment="1">
      <alignment horizontal="center"/>
    </xf>
    <xf numFmtId="176" fontId="123" fillId="0" borderId="0" xfId="270" applyNumberFormat="1" applyFont="1" applyFill="1" applyProtection="1"/>
    <xf numFmtId="173" fontId="123" fillId="0" borderId="0" xfId="0" applyNumberFormat="1" applyFont="1" applyAlignment="1">
      <alignment horizontal="center"/>
    </xf>
    <xf numFmtId="0" fontId="125" fillId="0" borderId="0" xfId="0" applyFont="1" applyAlignment="1">
      <alignment horizontal="center"/>
    </xf>
    <xf numFmtId="173" fontId="123" fillId="0" borderId="0" xfId="88" applyNumberFormat="1" applyFont="1" applyFill="1" applyProtection="1"/>
    <xf numFmtId="176" fontId="123" fillId="0" borderId="0" xfId="0" applyNumberFormat="1" applyFont="1"/>
    <xf numFmtId="173" fontId="123" fillId="0" borderId="11" xfId="88" applyNumberFormat="1" applyFont="1" applyFill="1" applyBorder="1" applyProtection="1"/>
    <xf numFmtId="173" fontId="124" fillId="0" borderId="0" xfId="88" applyNumberFormat="1" applyFont="1" applyFill="1" applyProtection="1"/>
    <xf numFmtId="173" fontId="124" fillId="0" borderId="0" xfId="88" applyNumberFormat="1" applyFont="1" applyFill="1" applyAlignment="1" applyProtection="1">
      <alignment horizontal="center"/>
    </xf>
    <xf numFmtId="0" fontId="125" fillId="0" borderId="0" xfId="0" applyFont="1"/>
    <xf numFmtId="195" fontId="6" fillId="0" borderId="0" xfId="0" applyNumberFormat="1" applyFont="1"/>
    <xf numFmtId="173" fontId="6" fillId="0" borderId="0" xfId="88" applyNumberFormat="1" applyFont="1" applyFill="1" applyProtection="1"/>
    <xf numFmtId="173" fontId="6" fillId="0" borderId="0" xfId="117" applyNumberFormat="1" applyFont="1" applyFill="1" applyProtection="1"/>
    <xf numFmtId="176" fontId="123" fillId="30" borderId="0" xfId="270" applyNumberFormat="1" applyFont="1" applyFill="1" applyProtection="1">
      <protection locked="0"/>
    </xf>
    <xf numFmtId="173" fontId="3" fillId="30" borderId="6" xfId="257" applyNumberFormat="1" applyFont="1" applyFill="1" applyBorder="1" applyAlignment="1" applyProtection="1">
      <alignment horizontal="center"/>
      <protection locked="0"/>
    </xf>
    <xf numFmtId="174" fontId="153" fillId="30" borderId="0" xfId="0" applyNumberFormat="1" applyFont="1" applyFill="1" applyProtection="1">
      <protection locked="0"/>
    </xf>
    <xf numFmtId="174" fontId="13" fillId="30" borderId="6" xfId="0" applyNumberFormat="1" applyFont="1" applyFill="1" applyBorder="1" applyProtection="1">
      <protection locked="0"/>
    </xf>
    <xf numFmtId="41" fontId="13" fillId="32" borderId="0" xfId="257" applyNumberFormat="1" applyFont="1" applyFill="1" applyProtection="1"/>
    <xf numFmtId="41" fontId="13" fillId="32" borderId="0" xfId="257" applyNumberFormat="1" applyFont="1" applyFill="1" applyAlignment="1" applyProtection="1">
      <alignment horizontal="center"/>
    </xf>
    <xf numFmtId="41" fontId="13" fillId="32" borderId="0" xfId="0" applyNumberFormat="1" applyFont="1" applyFill="1"/>
    <xf numFmtId="173" fontId="13" fillId="32" borderId="0" xfId="86" applyNumberFormat="1" applyFont="1" applyFill="1" applyProtection="1"/>
    <xf numFmtId="10" fontId="13" fillId="32" borderId="0" xfId="0" applyNumberFormat="1" applyFont="1" applyFill="1"/>
    <xf numFmtId="10" fontId="14" fillId="32" borderId="0" xfId="0" applyNumberFormat="1" applyFont="1" applyFill="1"/>
    <xf numFmtId="3" fontId="6" fillId="30" borderId="0" xfId="0" applyNumberFormat="1" applyFont="1" applyFill="1" applyAlignment="1" applyProtection="1">
      <alignment horizontal="center"/>
      <protection locked="0"/>
    </xf>
    <xf numFmtId="0" fontId="16" fillId="30" borderId="0" xfId="250" applyFont="1" applyFill="1" applyAlignment="1" applyProtection="1">
      <alignment horizontal="left"/>
      <protection locked="0"/>
    </xf>
    <xf numFmtId="0" fontId="16" fillId="30" borderId="0" xfId="250" applyFont="1" applyFill="1" applyProtection="1">
      <protection locked="0"/>
    </xf>
    <xf numFmtId="0" fontId="11" fillId="30" borderId="0" xfId="250" applyFont="1" applyFill="1" applyAlignment="1" applyProtection="1">
      <alignment horizontal="center"/>
      <protection locked="0"/>
    </xf>
    <xf numFmtId="3" fontId="64" fillId="30" borderId="0" xfId="0" applyNumberFormat="1" applyFont="1" applyFill="1" applyProtection="1">
      <protection locked="0"/>
    </xf>
    <xf numFmtId="3" fontId="64" fillId="30" borderId="0" xfId="0" quotePrefix="1" applyNumberFormat="1" applyFont="1" applyFill="1" applyProtection="1">
      <protection locked="0"/>
    </xf>
    <xf numFmtId="3" fontId="126" fillId="30" borderId="0" xfId="0" applyNumberFormat="1" applyFont="1" applyFill="1" applyProtection="1">
      <protection locked="0"/>
    </xf>
    <xf numFmtId="41" fontId="126" fillId="30" borderId="0" xfId="250" applyNumberFormat="1" applyFont="1" applyFill="1" applyProtection="1">
      <protection locked="0"/>
    </xf>
    <xf numFmtId="0" fontId="64" fillId="0" borderId="0" xfId="250" applyFont="1" applyAlignment="1">
      <alignment horizontal="center"/>
    </xf>
    <xf numFmtId="0" fontId="64" fillId="0" borderId="0" xfId="250" applyFont="1"/>
    <xf numFmtId="41" fontId="64" fillId="0" borderId="0" xfId="250" applyNumberFormat="1" applyFont="1"/>
    <xf numFmtId="41" fontId="126" fillId="30" borderId="11" xfId="250" applyNumberFormat="1" applyFont="1" applyFill="1" applyBorder="1" applyProtection="1">
      <protection locked="0"/>
    </xf>
    <xf numFmtId="0" fontId="64" fillId="0" borderId="0" xfId="0" applyFont="1"/>
    <xf numFmtId="173" fontId="64" fillId="0" borderId="0" xfId="86" applyNumberFormat="1" applyFont="1" applyFill="1"/>
    <xf numFmtId="173" fontId="127" fillId="0" borderId="0" xfId="86" applyNumberFormat="1" applyFont="1" applyFill="1"/>
    <xf numFmtId="38" fontId="64" fillId="0" borderId="0" xfId="0" applyNumberFormat="1" applyFont="1"/>
    <xf numFmtId="0" fontId="64" fillId="0" borderId="0" xfId="208" applyFont="1" applyAlignment="1">
      <alignment horizontal="center"/>
    </xf>
    <xf numFmtId="0" fontId="64" fillId="0" borderId="0" xfId="208" applyFont="1"/>
    <xf numFmtId="0" fontId="64" fillId="0" borderId="0" xfId="250" applyFont="1" applyAlignment="1">
      <alignment horizontal="left"/>
    </xf>
    <xf numFmtId="3" fontId="64" fillId="0" borderId="0" xfId="208" applyNumberFormat="1" applyFont="1"/>
    <xf numFmtId="38" fontId="64" fillId="0" borderId="0" xfId="0" applyNumberFormat="1" applyFont="1" applyAlignment="1">
      <alignment horizontal="center"/>
    </xf>
    <xf numFmtId="0" fontId="128" fillId="0" borderId="0" xfId="250" applyFont="1" applyAlignment="1">
      <alignment horizontal="center"/>
    </xf>
    <xf numFmtId="0" fontId="41" fillId="0" borderId="0" xfId="250" applyFont="1" applyAlignment="1">
      <alignment horizontal="center"/>
    </xf>
    <xf numFmtId="9" fontId="41" fillId="0" borderId="0" xfId="250" applyNumberFormat="1" applyFont="1" applyAlignment="1">
      <alignment horizontal="center"/>
    </xf>
    <xf numFmtId="0" fontId="41" fillId="0" borderId="0" xfId="250" applyFont="1"/>
    <xf numFmtId="0" fontId="41" fillId="0" borderId="0" xfId="250" applyFont="1" applyAlignment="1">
      <alignment horizontal="center" wrapText="1"/>
    </xf>
    <xf numFmtId="0" fontId="128" fillId="0" borderId="0" xfId="250" applyFont="1" applyAlignment="1">
      <alignment horizontal="right"/>
    </xf>
    <xf numFmtId="0" fontId="64" fillId="0" borderId="0" xfId="0" applyFont="1" applyAlignment="1">
      <alignment horizontal="center" wrapText="1"/>
    </xf>
    <xf numFmtId="0" fontId="41" fillId="0" borderId="11" xfId="250" applyFont="1" applyBorder="1" applyAlignment="1">
      <alignment horizontal="center"/>
    </xf>
    <xf numFmtId="173" fontId="154" fillId="30" borderId="0" xfId="86" applyNumberFormat="1" applyFont="1" applyFill="1"/>
    <xf numFmtId="173" fontId="13" fillId="0" borderId="30" xfId="98" applyNumberFormat="1" applyFont="1" applyFill="1" applyBorder="1" applyProtection="1"/>
    <xf numFmtId="173" fontId="13" fillId="0" borderId="20" xfId="98" applyNumberFormat="1" applyFont="1" applyFill="1" applyBorder="1" applyProtection="1"/>
    <xf numFmtId="0" fontId="13" fillId="0" borderId="0" xfId="0" applyFont="1" applyAlignment="1">
      <alignment vertical="top" wrapText="1"/>
    </xf>
    <xf numFmtId="0" fontId="10" fillId="0" borderId="0" xfId="263" applyFont="1" applyAlignment="1">
      <alignment horizontal="center"/>
    </xf>
    <xf numFmtId="43" fontId="13" fillId="0" borderId="0" xfId="114" applyFont="1" applyFill="1" applyProtection="1"/>
    <xf numFmtId="173" fontId="9" fillId="30" borderId="0" xfId="114" applyNumberFormat="1" applyFont="1" applyFill="1" applyProtection="1">
      <protection locked="0"/>
    </xf>
    <xf numFmtId="173" fontId="13" fillId="0" borderId="0" xfId="263" applyNumberFormat="1" applyFont="1"/>
    <xf numFmtId="0" fontId="131" fillId="0" borderId="0" xfId="0" applyFont="1" applyAlignment="1">
      <alignment vertical="center"/>
    </xf>
    <xf numFmtId="0" fontId="72" fillId="0" borderId="11" xfId="258" applyFont="1" applyBorder="1" applyAlignment="1">
      <alignment horizontal="center"/>
    </xf>
    <xf numFmtId="173" fontId="79" fillId="0" borderId="11" xfId="258" applyNumberFormat="1" applyFont="1" applyBorder="1"/>
    <xf numFmtId="0" fontId="72" fillId="0" borderId="11" xfId="258" applyFont="1" applyBorder="1"/>
    <xf numFmtId="0" fontId="13" fillId="0" borderId="11" xfId="258" applyFont="1" applyBorder="1"/>
    <xf numFmtId="0" fontId="19" fillId="0" borderId="11" xfId="258" applyFont="1" applyBorder="1"/>
    <xf numFmtId="173" fontId="90" fillId="0" borderId="11" xfId="258" applyNumberFormat="1" applyFont="1" applyBorder="1"/>
    <xf numFmtId="173" fontId="72" fillId="0" borderId="0" xfId="258" applyNumberFormat="1" applyFont="1" applyProtection="1">
      <protection locked="0"/>
    </xf>
    <xf numFmtId="9" fontId="79" fillId="30" borderId="0" xfId="269" applyFont="1" applyFill="1" applyBorder="1" applyProtection="1">
      <protection locked="0"/>
    </xf>
    <xf numFmtId="173" fontId="79" fillId="30" borderId="0" xfId="258" applyNumberFormat="1" applyFont="1" applyFill="1" applyAlignment="1" applyProtection="1">
      <alignment horizontal="center"/>
      <protection locked="0"/>
    </xf>
    <xf numFmtId="0" fontId="13" fillId="0" borderId="0" xfId="163"/>
    <xf numFmtId="0" fontId="13" fillId="0" borderId="0" xfId="163" applyAlignment="1">
      <alignment horizontal="center"/>
    </xf>
    <xf numFmtId="41" fontId="9" fillId="30" borderId="0" xfId="251" applyNumberFormat="1" applyFont="1" applyFill="1" applyProtection="1">
      <protection locked="0"/>
    </xf>
    <xf numFmtId="0" fontId="10" fillId="0" borderId="0" xfId="163" applyFont="1" applyAlignment="1">
      <alignment horizontal="left"/>
    </xf>
    <xf numFmtId="3" fontId="13" fillId="0" borderId="0" xfId="163" applyNumberFormat="1"/>
    <xf numFmtId="0" fontId="14" fillId="0" borderId="0" xfId="163" applyFont="1" applyAlignment="1">
      <alignment horizontal="center"/>
    </xf>
    <xf numFmtId="3" fontId="13" fillId="0" borderId="0" xfId="163" applyNumberFormat="1" applyAlignment="1">
      <alignment horizontal="centerContinuous"/>
    </xf>
    <xf numFmtId="3" fontId="14" fillId="0" borderId="0" xfId="163" applyNumberFormat="1" applyFont="1" applyAlignment="1">
      <alignment horizontal="centerContinuous"/>
    </xf>
    <xf numFmtId="3" fontId="13" fillId="0" borderId="38" xfId="163" applyNumberFormat="1" applyBorder="1"/>
    <xf numFmtId="3" fontId="13" fillId="0" borderId="0" xfId="163" applyNumberFormat="1" applyAlignment="1">
      <alignment horizontal="left"/>
    </xf>
    <xf numFmtId="37" fontId="13" fillId="0" borderId="0" xfId="163" applyNumberFormat="1"/>
    <xf numFmtId="37" fontId="13" fillId="0" borderId="0" xfId="163" applyNumberFormat="1" applyAlignment="1">
      <alignment horizontal="center"/>
    </xf>
    <xf numFmtId="37" fontId="13" fillId="0" borderId="38" xfId="163" applyNumberFormat="1" applyBorder="1"/>
    <xf numFmtId="37" fontId="13" fillId="0" borderId="39" xfId="163" applyNumberFormat="1" applyBorder="1"/>
    <xf numFmtId="37" fontId="13" fillId="0" borderId="40" xfId="163" applyNumberFormat="1" applyBorder="1"/>
    <xf numFmtId="3" fontId="13" fillId="0" borderId="0" xfId="163" applyNumberFormat="1" applyAlignment="1" applyProtection="1">
      <alignment horizontal="center"/>
      <protection locked="0"/>
    </xf>
    <xf numFmtId="3" fontId="13" fillId="0" borderId="0" xfId="163" applyNumberFormat="1" applyAlignment="1">
      <alignment horizontal="center"/>
    </xf>
    <xf numFmtId="3" fontId="13" fillId="0" borderId="0" xfId="163" applyNumberFormat="1" applyProtection="1">
      <protection locked="0"/>
    </xf>
    <xf numFmtId="0" fontId="13" fillId="0" borderId="0" xfId="163" applyAlignment="1">
      <alignment horizontal="left"/>
    </xf>
    <xf numFmtId="37" fontId="13" fillId="0" borderId="14" xfId="163" applyNumberFormat="1" applyBorder="1"/>
    <xf numFmtId="37" fontId="155" fillId="0" borderId="39" xfId="163" applyNumberFormat="1" applyFont="1" applyBorder="1"/>
    <xf numFmtId="37" fontId="155" fillId="0" borderId="0" xfId="163" applyNumberFormat="1" applyFont="1"/>
    <xf numFmtId="4" fontId="13" fillId="0" borderId="0" xfId="163" applyNumberFormat="1" applyAlignment="1">
      <alignment horizontal="center"/>
    </xf>
    <xf numFmtId="196" fontId="9" fillId="30" borderId="0" xfId="251" applyNumberFormat="1" applyFont="1" applyFill="1" applyProtection="1">
      <protection locked="0"/>
    </xf>
    <xf numFmtId="3" fontId="13" fillId="33" borderId="0" xfId="163" applyNumberFormat="1" applyFill="1"/>
    <xf numFmtId="0" fontId="13" fillId="33" borderId="0" xfId="163" applyFill="1"/>
    <xf numFmtId="3" fontId="13" fillId="33" borderId="0" xfId="163" applyNumberFormat="1" applyFill="1" applyAlignment="1" applyProtection="1">
      <alignment horizontal="center"/>
      <protection locked="0"/>
    </xf>
    <xf numFmtId="0" fontId="13" fillId="33" borderId="0" xfId="163" applyFill="1" applyAlignment="1">
      <alignment horizontal="center"/>
    </xf>
    <xf numFmtId="0" fontId="14" fillId="33" borderId="0" xfId="163" applyFont="1" applyFill="1" applyAlignment="1">
      <alignment horizontal="center"/>
    </xf>
    <xf numFmtId="3" fontId="10" fillId="0" borderId="0" xfId="163" applyNumberFormat="1" applyFont="1" applyAlignment="1">
      <alignment horizontal="left"/>
    </xf>
    <xf numFmtId="196" fontId="9" fillId="30" borderId="0" xfId="252" applyNumberFormat="1" applyFont="1" applyFill="1" applyProtection="1">
      <protection locked="0"/>
    </xf>
    <xf numFmtId="0" fontId="19" fillId="0" borderId="11" xfId="258" applyFont="1" applyBorder="1" applyAlignment="1">
      <alignment horizontal="center"/>
    </xf>
    <xf numFmtId="173" fontId="72" fillId="0" borderId="11" xfId="258" applyNumberFormat="1" applyFont="1" applyBorder="1"/>
    <xf numFmtId="0" fontId="13" fillId="0" borderId="0" xfId="0" applyFont="1" applyAlignment="1">
      <alignment horizontal="right"/>
    </xf>
    <xf numFmtId="0" fontId="10" fillId="0" borderId="0" xfId="261" applyFont="1" applyAlignment="1">
      <alignment horizontal="centerContinuous"/>
    </xf>
    <xf numFmtId="0" fontId="13" fillId="0" borderId="0" xfId="261" applyAlignment="1">
      <alignment horizontal="left"/>
    </xf>
    <xf numFmtId="0" fontId="10" fillId="0" borderId="0" xfId="261" applyFont="1" applyAlignment="1">
      <alignment horizontal="center"/>
    </xf>
    <xf numFmtId="0" fontId="10" fillId="0" borderId="0" xfId="261" applyFont="1" applyAlignment="1">
      <alignment wrapText="1"/>
    </xf>
    <xf numFmtId="0" fontId="13" fillId="0" borderId="32" xfId="0" applyFont="1" applyBorder="1" applyAlignment="1">
      <alignment horizontal="center" wrapText="1"/>
    </xf>
    <xf numFmtId="0" fontId="10" fillId="0" borderId="33" xfId="261" applyFont="1" applyBorder="1" applyAlignment="1">
      <alignment horizontal="center" wrapText="1"/>
    </xf>
    <xf numFmtId="0" fontId="10" fillId="0" borderId="0" xfId="261" applyFont="1" applyAlignment="1">
      <alignment horizontal="center" wrapText="1"/>
    </xf>
    <xf numFmtId="0" fontId="13" fillId="0" borderId="34" xfId="0" applyFont="1" applyBorder="1" applyAlignment="1">
      <alignment horizontal="center"/>
    </xf>
    <xf numFmtId="0" fontId="10" fillId="0" borderId="35" xfId="261" applyFont="1" applyBorder="1" applyAlignment="1">
      <alignment horizontal="center"/>
    </xf>
    <xf numFmtId="0" fontId="133" fillId="0" borderId="0" xfId="0" applyFont="1"/>
    <xf numFmtId="3" fontId="25" fillId="0" borderId="11" xfId="208" applyNumberFormat="1" applyFont="1" applyBorder="1" applyAlignment="1">
      <alignment horizontal="center" wrapText="1"/>
    </xf>
    <xf numFmtId="0" fontId="13" fillId="0" borderId="35" xfId="261" quotePrefix="1" applyBorder="1" applyAlignment="1">
      <alignment horizontal="left"/>
    </xf>
    <xf numFmtId="0" fontId="13" fillId="0" borderId="35" xfId="261" applyBorder="1"/>
    <xf numFmtId="0" fontId="13" fillId="0" borderId="36" xfId="0" applyFont="1" applyBorder="1" applyAlignment="1">
      <alignment horizontal="center"/>
    </xf>
    <xf numFmtId="0" fontId="13" fillId="0" borderId="37" xfId="261" applyBorder="1"/>
    <xf numFmtId="0" fontId="13" fillId="0" borderId="37" xfId="261" applyBorder="1" applyAlignment="1">
      <alignment horizontal="right"/>
    </xf>
    <xf numFmtId="173" fontId="13" fillId="0" borderId="14" xfId="88" applyNumberFormat="1" applyFont="1" applyBorder="1"/>
    <xf numFmtId="0" fontId="13" fillId="0" borderId="0" xfId="261"/>
    <xf numFmtId="37" fontId="13" fillId="0" borderId="0" xfId="261" applyNumberFormat="1"/>
    <xf numFmtId="172" fontId="13" fillId="0" borderId="0" xfId="254" applyFont="1"/>
    <xf numFmtId="0" fontId="13" fillId="0" borderId="16" xfId="0" applyFont="1" applyBorder="1" applyAlignment="1">
      <alignment horizontal="center"/>
    </xf>
    <xf numFmtId="0" fontId="13" fillId="0" borderId="42" xfId="261" applyBorder="1" applyAlignment="1">
      <alignment horizontal="right"/>
    </xf>
    <xf numFmtId="0" fontId="13" fillId="0" borderId="32" xfId="0" applyFont="1" applyBorder="1" applyAlignment="1">
      <alignment horizontal="center"/>
    </xf>
    <xf numFmtId="0" fontId="10" fillId="0" borderId="2" xfId="261" applyFont="1" applyBorder="1" applyAlignment="1">
      <alignment horizontal="centerContinuous" wrapText="1"/>
    </xf>
    <xf numFmtId="0" fontId="13" fillId="0" borderId="32" xfId="0" applyFont="1" applyBorder="1"/>
    <xf numFmtId="0" fontId="13" fillId="0" borderId="2" xfId="0" applyFont="1" applyBorder="1"/>
    <xf numFmtId="0" fontId="13" fillId="0" borderId="34" xfId="0" applyFont="1" applyBorder="1" applyAlignment="1">
      <alignment horizontal="center" wrapText="1"/>
    </xf>
    <xf numFmtId="0" fontId="10" fillId="0" borderId="34" xfId="261" applyFont="1" applyBorder="1" applyAlignment="1">
      <alignment horizontal="center" wrapText="1"/>
    </xf>
    <xf numFmtId="0" fontId="10" fillId="0" borderId="34" xfId="261" applyFont="1" applyBorder="1" applyAlignment="1">
      <alignment horizontal="center"/>
    </xf>
    <xf numFmtId="3" fontId="13" fillId="0" borderId="36" xfId="208" applyNumberFormat="1" applyBorder="1" applyAlignment="1">
      <alignment horizontal="center" wrapText="1"/>
    </xf>
    <xf numFmtId="3" fontId="13" fillId="0" borderId="11" xfId="208" applyNumberFormat="1" applyBorder="1" applyAlignment="1">
      <alignment horizontal="center" wrapText="1"/>
    </xf>
    <xf numFmtId="0" fontId="13" fillId="0" borderId="14" xfId="0" applyFont="1" applyBorder="1" applyAlignment="1">
      <alignment horizontal="center"/>
    </xf>
    <xf numFmtId="173" fontId="13" fillId="0" borderId="43" xfId="88" applyNumberFormat="1" applyFont="1" applyBorder="1"/>
    <xf numFmtId="0" fontId="133" fillId="0" borderId="0" xfId="0" applyFont="1" applyAlignment="1">
      <alignment horizontal="center"/>
    </xf>
    <xf numFmtId="0" fontId="18" fillId="0" borderId="0" xfId="208" applyFont="1" applyAlignment="1">
      <alignment horizontal="left" vertical="center"/>
    </xf>
    <xf numFmtId="0" fontId="18" fillId="0" borderId="0" xfId="208" applyFont="1" applyAlignment="1">
      <alignment horizontal="center" vertical="center"/>
    </xf>
    <xf numFmtId="0" fontId="18" fillId="0" borderId="0" xfId="250" applyFont="1" applyAlignment="1">
      <alignment horizontal="center" vertical="center" wrapText="1"/>
    </xf>
    <xf numFmtId="0" fontId="18" fillId="0" borderId="0" xfId="208" quotePrefix="1" applyFont="1" applyAlignment="1">
      <alignment horizontal="center" vertical="center" wrapText="1"/>
    </xf>
    <xf numFmtId="0" fontId="18" fillId="0" borderId="0" xfId="208" applyFont="1" applyAlignment="1">
      <alignment horizontal="left"/>
    </xf>
    <xf numFmtId="173" fontId="0" fillId="0" borderId="0" xfId="109" applyNumberFormat="1" applyFont="1" applyFill="1"/>
    <xf numFmtId="3" fontId="13" fillId="0" borderId="0" xfId="208" applyNumberFormat="1" applyAlignment="1">
      <alignment horizontal="right"/>
    </xf>
    <xf numFmtId="3" fontId="13" fillId="32" borderId="0" xfId="208" applyNumberFormat="1" applyFill="1"/>
    <xf numFmtId="173" fontId="9" fillId="30" borderId="11" xfId="89" applyNumberFormat="1" applyFont="1" applyFill="1" applyBorder="1" applyAlignment="1" applyProtection="1">
      <alignment horizontal="right"/>
      <protection locked="0"/>
    </xf>
    <xf numFmtId="173" fontId="0" fillId="0" borderId="11" xfId="109" applyNumberFormat="1" applyFont="1" applyFill="1" applyBorder="1"/>
    <xf numFmtId="173" fontId="13" fillId="0" borderId="0" xfId="208" applyNumberFormat="1"/>
    <xf numFmtId="0" fontId="82" fillId="0" borderId="0" xfId="208" applyFont="1" applyAlignment="1">
      <alignment horizontal="center"/>
    </xf>
    <xf numFmtId="173" fontId="64" fillId="0" borderId="0" xfId="109" applyNumberFormat="1" applyFont="1" applyFill="1" applyAlignment="1" applyProtection="1">
      <alignment horizontal="left"/>
      <protection locked="0"/>
    </xf>
    <xf numFmtId="173" fontId="64" fillId="0" borderId="11" xfId="109" applyNumberFormat="1" applyFont="1" applyFill="1" applyBorder="1" applyAlignment="1" applyProtection="1">
      <alignment horizontal="left"/>
      <protection locked="0"/>
    </xf>
    <xf numFmtId="0" fontId="16" fillId="0" borderId="0" xfId="163" applyFont="1"/>
    <xf numFmtId="0" fontId="16" fillId="0" borderId="0" xfId="163" applyFont="1" applyAlignment="1">
      <alignment horizontal="center"/>
    </xf>
    <xf numFmtId="0" fontId="16" fillId="0" borderId="0" xfId="163" applyFont="1" applyAlignment="1">
      <alignment horizontal="right"/>
    </xf>
    <xf numFmtId="0" fontId="92" fillId="0" borderId="0" xfId="261" applyFont="1" applyAlignment="1">
      <alignment horizontal="centerContinuous"/>
    </xf>
    <xf numFmtId="0" fontId="16" fillId="0" borderId="0" xfId="261" applyFont="1" applyAlignment="1">
      <alignment horizontal="left"/>
    </xf>
    <xf numFmtId="0" fontId="92" fillId="0" borderId="0" xfId="261" applyFont="1" applyAlignment="1">
      <alignment horizontal="center"/>
    </xf>
    <xf numFmtId="0" fontId="13" fillId="0" borderId="32" xfId="163" applyBorder="1" applyAlignment="1">
      <alignment horizontal="center" wrapText="1"/>
    </xf>
    <xf numFmtId="0" fontId="10" fillId="0" borderId="44" xfId="261" applyFont="1" applyBorder="1" applyAlignment="1">
      <alignment horizontal="center" wrapText="1"/>
    </xf>
    <xf numFmtId="0" fontId="16" fillId="0" borderId="0" xfId="163" applyFont="1" applyAlignment="1">
      <alignment wrapText="1"/>
    </xf>
    <xf numFmtId="0" fontId="13" fillId="0" borderId="34" xfId="163" applyBorder="1" applyAlignment="1">
      <alignment horizontal="center"/>
    </xf>
    <xf numFmtId="0" fontId="10" fillId="0" borderId="10" xfId="261" applyFont="1" applyBorder="1" applyAlignment="1">
      <alignment horizontal="center"/>
    </xf>
    <xf numFmtId="0" fontId="135" fillId="0" borderId="0" xfId="163" applyFont="1"/>
    <xf numFmtId="3" fontId="25" fillId="0" borderId="36" xfId="208" applyNumberFormat="1" applyFont="1" applyBorder="1" applyAlignment="1">
      <alignment horizontal="center" wrapText="1"/>
    </xf>
    <xf numFmtId="3" fontId="25" fillId="0" borderId="45" xfId="208" applyNumberFormat="1" applyFont="1" applyBorder="1" applyAlignment="1">
      <alignment wrapText="1"/>
    </xf>
    <xf numFmtId="173" fontId="9" fillId="26" borderId="0" xfId="108" applyNumberFormat="1" applyFont="1" applyFill="1" applyAlignment="1" applyProtection="1">
      <protection locked="0"/>
    </xf>
    <xf numFmtId="41" fontId="13" fillId="0" borderId="10" xfId="261" applyNumberFormat="1" applyBorder="1"/>
    <xf numFmtId="0" fontId="13" fillId="0" borderId="36" xfId="163" applyBorder="1" applyAlignment="1">
      <alignment horizontal="center"/>
    </xf>
    <xf numFmtId="173" fontId="13" fillId="0" borderId="46" xfId="88" applyNumberFormat="1" applyFont="1" applyBorder="1"/>
    <xf numFmtId="3" fontId="25" fillId="0" borderId="45" xfId="208" applyNumberFormat="1" applyFont="1" applyBorder="1" applyAlignment="1">
      <alignment horizontal="center" wrapText="1"/>
    </xf>
    <xf numFmtId="173" fontId="9" fillId="30" borderId="0" xfId="88" applyNumberFormat="1" applyFont="1" applyFill="1" applyBorder="1" applyProtection="1">
      <protection locked="0"/>
    </xf>
    <xf numFmtId="0" fontId="13" fillId="0" borderId="16" xfId="163" applyBorder="1" applyAlignment="1">
      <alignment horizontal="center"/>
    </xf>
    <xf numFmtId="0" fontId="16" fillId="0" borderId="0" xfId="261" applyFont="1"/>
    <xf numFmtId="37" fontId="16" fillId="0" borderId="0" xfId="261" applyNumberFormat="1" applyFont="1"/>
    <xf numFmtId="172" fontId="16" fillId="0" borderId="0" xfId="254" applyFont="1"/>
    <xf numFmtId="0" fontId="13" fillId="0" borderId="0" xfId="251" applyAlignment="1">
      <alignment vertical="top"/>
    </xf>
    <xf numFmtId="0" fontId="13" fillId="0" borderId="0" xfId="163" applyAlignment="1">
      <alignment vertical="top" wrapText="1"/>
    </xf>
    <xf numFmtId="0" fontId="135" fillId="0" borderId="0" xfId="163" applyFont="1" applyAlignment="1">
      <alignment horizontal="center"/>
    </xf>
    <xf numFmtId="0" fontId="91" fillId="0" borderId="0" xfId="252" applyFont="1"/>
    <xf numFmtId="0" fontId="92" fillId="0" borderId="0" xfId="163" applyFont="1" applyAlignment="1">
      <alignment horizontal="center"/>
    </xf>
    <xf numFmtId="0" fontId="92" fillId="0" borderId="0" xfId="163" quotePrefix="1" applyFont="1" applyAlignment="1">
      <alignment horizontal="center"/>
    </xf>
    <xf numFmtId="0" fontId="10" fillId="0" borderId="0" xfId="252" applyFont="1" applyAlignment="1">
      <alignment horizontal="left"/>
    </xf>
    <xf numFmtId="173" fontId="13" fillId="0" borderId="0" xfId="88" applyNumberFormat="1" applyFont="1" applyFill="1" applyProtection="1"/>
    <xf numFmtId="0" fontId="13" fillId="0" borderId="0" xfId="252"/>
    <xf numFmtId="0" fontId="13" fillId="0" borderId="0" xfId="182"/>
    <xf numFmtId="0" fontId="13" fillId="0" borderId="0" xfId="252" applyAlignment="1">
      <alignment horizontal="left"/>
    </xf>
    <xf numFmtId="173" fontId="9" fillId="30" borderId="0" xfId="88" applyNumberFormat="1" applyFont="1" applyFill="1" applyProtection="1">
      <protection locked="0"/>
    </xf>
    <xf numFmtId="10" fontId="13" fillId="0" borderId="0" xfId="270" applyNumberFormat="1" applyFont="1" applyFill="1" applyBorder="1" applyProtection="1"/>
    <xf numFmtId="173" fontId="9" fillId="26" borderId="6" xfId="88" applyNumberFormat="1" applyFont="1" applyFill="1" applyBorder="1" applyAlignment="1" applyProtection="1">
      <protection locked="0"/>
    </xf>
    <xf numFmtId="10" fontId="10" fillId="0" borderId="0" xfId="270" applyNumberFormat="1" applyFont="1" applyFill="1" applyBorder="1" applyProtection="1"/>
    <xf numFmtId="0" fontId="10" fillId="0" borderId="0" xfId="252" applyFont="1"/>
    <xf numFmtId="173" fontId="10" fillId="0" borderId="0" xfId="270" applyNumberFormat="1" applyFont="1" applyFill="1" applyBorder="1" applyProtection="1"/>
    <xf numFmtId="173" fontId="13" fillId="0" borderId="0" xfId="270" applyNumberFormat="1" applyFont="1" applyFill="1" applyBorder="1" applyProtection="1"/>
    <xf numFmtId="10" fontId="10" fillId="0" borderId="18" xfId="270" applyNumberFormat="1" applyFont="1" applyFill="1" applyBorder="1" applyProtection="1"/>
    <xf numFmtId="0" fontId="101" fillId="0" borderId="0" xfId="182" applyFont="1" applyAlignment="1">
      <alignment horizontal="center"/>
    </xf>
    <xf numFmtId="0" fontId="13" fillId="0" borderId="0" xfId="257" applyNumberFormat="1" applyFont="1" applyAlignment="1" applyProtection="1">
      <alignment horizontal="center" vertical="center"/>
    </xf>
    <xf numFmtId="0" fontId="136" fillId="0" borderId="0" xfId="182" applyFont="1"/>
    <xf numFmtId="0" fontId="13" fillId="0" borderId="0" xfId="257" applyNumberFormat="1" applyFont="1" applyAlignment="1" applyProtection="1">
      <alignment horizontal="center" vertical="top"/>
    </xf>
    <xf numFmtId="0" fontId="64" fillId="0" borderId="0" xfId="182" applyFont="1" applyAlignment="1">
      <alignment vertical="top" wrapText="1"/>
    </xf>
    <xf numFmtId="0" fontId="10" fillId="0" borderId="0" xfId="257" applyNumberFormat="1" applyFont="1" applyAlignment="1" applyProtection="1">
      <alignment horizontal="center" vertical="center"/>
    </xf>
    <xf numFmtId="0" fontId="23" fillId="0" borderId="0" xfId="182" applyFont="1"/>
    <xf numFmtId="41" fontId="10" fillId="0" borderId="0" xfId="252" applyNumberFormat="1" applyFont="1" applyAlignment="1">
      <alignment horizontal="center" wrapText="1"/>
    </xf>
    <xf numFmtId="0" fontId="10" fillId="0" borderId="0" xfId="252" applyFont="1" applyAlignment="1">
      <alignment horizontal="center" wrapText="1"/>
    </xf>
    <xf numFmtId="0" fontId="9" fillId="26" borderId="0" xfId="252" applyFont="1" applyFill="1" applyProtection="1">
      <protection locked="0"/>
    </xf>
    <xf numFmtId="173" fontId="137" fillId="26" borderId="0" xfId="88" applyNumberFormat="1" applyFont="1" applyFill="1" applyProtection="1">
      <protection locked="0"/>
    </xf>
    <xf numFmtId="197" fontId="13" fillId="0" borderId="0" xfId="259" applyNumberFormat="1" applyAlignment="1" applyProtection="1">
      <alignment horizontal="center"/>
      <protection locked="0"/>
    </xf>
    <xf numFmtId="37" fontId="9" fillId="26" borderId="0" xfId="252" applyNumberFormat="1" applyFont="1" applyFill="1" applyProtection="1">
      <protection locked="0"/>
    </xf>
    <xf numFmtId="0" fontId="137" fillId="26" borderId="0" xfId="252" applyFont="1" applyFill="1" applyProtection="1">
      <protection locked="0"/>
    </xf>
    <xf numFmtId="198" fontId="13" fillId="0" borderId="0" xfId="259" applyNumberFormat="1" applyAlignment="1" applyProtection="1">
      <alignment horizontal="center"/>
      <protection locked="0"/>
    </xf>
    <xf numFmtId="14" fontId="13" fillId="0" borderId="0" xfId="259" applyNumberFormat="1" applyAlignment="1" applyProtection="1">
      <alignment horizontal="center"/>
      <protection locked="0"/>
    </xf>
    <xf numFmtId="0" fontId="13" fillId="0" borderId="11" xfId="182" applyBorder="1"/>
    <xf numFmtId="0" fontId="16" fillId="0" borderId="11" xfId="252" applyFont="1" applyBorder="1"/>
    <xf numFmtId="0" fontId="10" fillId="0" borderId="2" xfId="252" applyFont="1" applyBorder="1" applyAlignment="1">
      <alignment horizontal="left"/>
    </xf>
    <xf numFmtId="173" fontId="13" fillId="0" borderId="2" xfId="270" applyNumberFormat="1" applyFont="1" applyFill="1" applyBorder="1" applyProtection="1"/>
    <xf numFmtId="173" fontId="10" fillId="0" borderId="0" xfId="88" applyNumberFormat="1" applyFont="1" applyFill="1" applyBorder="1" applyProtection="1"/>
    <xf numFmtId="0" fontId="91" fillId="0" borderId="0" xfId="252" applyFont="1" applyAlignment="1">
      <alignment horizontal="left"/>
    </xf>
    <xf numFmtId="0" fontId="13" fillId="0" borderId="0" xfId="257" applyNumberFormat="1" applyFont="1" applyAlignment="1" applyProtection="1">
      <alignment horizontal="center" wrapText="1"/>
    </xf>
    <xf numFmtId="173" fontId="16" fillId="0" borderId="0" xfId="163" applyNumberFormat="1" applyFont="1"/>
    <xf numFmtId="0" fontId="16" fillId="0" borderId="2" xfId="163" applyFont="1" applyBorder="1"/>
    <xf numFmtId="188" fontId="6" fillId="0" borderId="0" xfId="257" applyNumberFormat="1" applyFont="1" applyAlignment="1" applyProtection="1">
      <alignment horizontal="center"/>
    </xf>
    <xf numFmtId="41" fontId="6" fillId="0" borderId="11" xfId="257" applyNumberFormat="1" applyFont="1" applyBorder="1" applyProtection="1"/>
    <xf numFmtId="0" fontId="6" fillId="0" borderId="0" xfId="163" applyFont="1" applyAlignment="1">
      <alignment horizontal="center"/>
    </xf>
    <xf numFmtId="0" fontId="64" fillId="0" borderId="0" xfId="163" applyFont="1"/>
    <xf numFmtId="0" fontId="6" fillId="0" borderId="0" xfId="163" applyFont="1"/>
    <xf numFmtId="173" fontId="6" fillId="32" borderId="0" xfId="86" applyNumberFormat="1" applyFont="1" applyFill="1" applyAlignment="1" applyProtection="1">
      <alignment horizontal="right"/>
    </xf>
    <xf numFmtId="179" fontId="6" fillId="0" borderId="0" xfId="257" applyNumberFormat="1" applyFont="1" applyAlignment="1" applyProtection="1">
      <alignment horizontal="center"/>
    </xf>
    <xf numFmtId="0" fontId="13" fillId="0" borderId="0" xfId="0" applyFont="1" applyAlignment="1">
      <alignment horizontal="left"/>
    </xf>
    <xf numFmtId="0" fontId="14" fillId="0" borderId="0" xfId="0" applyFont="1" applyAlignment="1">
      <alignment horizontal="left"/>
    </xf>
    <xf numFmtId="0" fontId="10" fillId="0" borderId="0" xfId="263" applyFont="1"/>
    <xf numFmtId="0" fontId="13" fillId="0" borderId="0" xfId="263" applyFont="1"/>
    <xf numFmtId="0" fontId="13" fillId="0" borderId="0" xfId="0" applyFont="1" applyAlignment="1">
      <alignment vertical="top"/>
    </xf>
    <xf numFmtId="41" fontId="20" fillId="0" borderId="0" xfId="250" applyNumberFormat="1" applyFont="1" applyProtection="1">
      <protection locked="0"/>
    </xf>
    <xf numFmtId="0" fontId="7" fillId="0" borderId="0" xfId="250" applyFont="1"/>
    <xf numFmtId="0" fontId="74" fillId="0" borderId="0" xfId="258" applyFont="1" applyAlignment="1">
      <alignment wrapText="1"/>
    </xf>
    <xf numFmtId="0" fontId="7" fillId="0" borderId="0" xfId="251" applyFont="1" applyAlignment="1">
      <alignment horizontal="center"/>
    </xf>
    <xf numFmtId="0" fontId="7" fillId="0" borderId="0" xfId="251" quotePrefix="1" applyFont="1" applyAlignment="1">
      <alignment horizontal="center"/>
    </xf>
    <xf numFmtId="0" fontId="7" fillId="0" borderId="0" xfId="251" applyFont="1" applyAlignment="1">
      <alignment horizontal="left" vertical="center" wrapText="1"/>
    </xf>
    <xf numFmtId="0" fontId="7" fillId="0" borderId="0" xfId="251" applyFont="1" applyAlignment="1">
      <alignment horizontal="center" vertical="center" wrapText="1"/>
    </xf>
    <xf numFmtId="0" fontId="7" fillId="0" borderId="0" xfId="251" quotePrefix="1" applyFont="1" applyAlignment="1">
      <alignment horizontal="center" vertical="center" wrapText="1"/>
    </xf>
    <xf numFmtId="0" fontId="13" fillId="0" borderId="0" xfId="253" applyAlignment="1">
      <alignment horizontal="left"/>
    </xf>
    <xf numFmtId="0" fontId="139" fillId="0" borderId="0" xfId="0" applyFont="1" applyAlignment="1">
      <alignment vertical="center"/>
    </xf>
    <xf numFmtId="0" fontId="140" fillId="0" borderId="0" xfId="208" applyFont="1"/>
    <xf numFmtId="0" fontId="141" fillId="0" borderId="0" xfId="208" applyFont="1" applyAlignment="1">
      <alignment horizontal="center"/>
    </xf>
    <xf numFmtId="3" fontId="142" fillId="0" borderId="0" xfId="208" applyNumberFormat="1" applyFont="1" applyAlignment="1">
      <alignment horizontal="center"/>
    </xf>
    <xf numFmtId="0" fontId="140" fillId="0" borderId="0" xfId="0" applyFont="1"/>
    <xf numFmtId="0" fontId="143" fillId="0" borderId="0" xfId="208" applyFont="1"/>
    <xf numFmtId="0" fontId="142" fillId="0" borderId="0" xfId="208" applyFont="1" applyAlignment="1">
      <alignment horizontal="center"/>
    </xf>
    <xf numFmtId="0" fontId="141" fillId="0" borderId="0" xfId="207" applyFont="1"/>
    <xf numFmtId="0" fontId="141" fillId="0" borderId="0" xfId="208" applyFont="1"/>
    <xf numFmtId="0" fontId="144" fillId="0" borderId="0" xfId="208" applyFont="1" applyAlignment="1">
      <alignment horizontal="left"/>
    </xf>
    <xf numFmtId="0" fontId="144" fillId="0" borderId="0" xfId="208" applyFont="1"/>
    <xf numFmtId="3" fontId="141" fillId="0" borderId="0" xfId="208" applyNumberFormat="1" applyFont="1"/>
    <xf numFmtId="1" fontId="145" fillId="0" borderId="0" xfId="208" applyNumberFormat="1" applyFont="1" applyAlignment="1">
      <alignment horizontal="center"/>
    </xf>
    <xf numFmtId="172" fontId="141" fillId="0" borderId="0" xfId="256" applyFont="1" applyProtection="1"/>
    <xf numFmtId="6" fontId="140" fillId="0" borderId="0" xfId="208" applyNumberFormat="1" applyFont="1"/>
    <xf numFmtId="170" fontId="141" fillId="0" borderId="0" xfId="256" applyNumberFormat="1" applyFont="1" applyAlignment="1" applyProtection="1">
      <alignment horizontal="right"/>
    </xf>
    <xf numFmtId="171" fontId="141" fillId="0" borderId="0" xfId="256" applyNumberFormat="1" applyFont="1" applyProtection="1"/>
    <xf numFmtId="0" fontId="146" fillId="0" borderId="0" xfId="208" applyFont="1"/>
    <xf numFmtId="3" fontId="145" fillId="30" borderId="0" xfId="111" applyNumberFormat="1" applyFont="1" applyFill="1" applyBorder="1" applyAlignment="1" applyProtection="1">
      <alignment horizontal="right"/>
      <protection locked="0"/>
    </xf>
    <xf numFmtId="170" fontId="141" fillId="0" borderId="0" xfId="256" applyNumberFormat="1" applyFont="1" applyProtection="1"/>
    <xf numFmtId="0" fontId="141" fillId="0" borderId="0" xfId="0" applyFont="1"/>
    <xf numFmtId="170" fontId="145" fillId="30" borderId="0" xfId="0" applyNumberFormat="1" applyFont="1" applyFill="1" applyAlignment="1" applyProtection="1">
      <alignment horizontal="right"/>
      <protection locked="0"/>
    </xf>
    <xf numFmtId="0" fontId="141" fillId="0" borderId="6" xfId="208" applyFont="1" applyBorder="1" applyAlignment="1">
      <alignment horizontal="center"/>
    </xf>
    <xf numFmtId="0" fontId="141" fillId="0" borderId="6" xfId="0" applyFont="1" applyBorder="1"/>
    <xf numFmtId="172" fontId="141" fillId="0" borderId="6" xfId="256" applyFont="1" applyBorder="1" applyProtection="1"/>
    <xf numFmtId="170" fontId="145" fillId="30" borderId="6" xfId="0" applyNumberFormat="1" applyFont="1" applyFill="1" applyBorder="1" applyAlignment="1" applyProtection="1">
      <alignment horizontal="right"/>
      <protection locked="0"/>
    </xf>
    <xf numFmtId="170" fontId="141" fillId="0" borderId="0" xfId="0" applyNumberFormat="1" applyFont="1"/>
    <xf numFmtId="170" fontId="141" fillId="0" borderId="0" xfId="208" applyNumberFormat="1" applyFont="1"/>
    <xf numFmtId="0" fontId="6" fillId="0" borderId="0" xfId="257" applyNumberFormat="1" applyFont="1" applyAlignment="1" applyProtection="1">
      <alignment horizontal="left" indent="2"/>
    </xf>
    <xf numFmtId="43" fontId="13" fillId="30" borderId="0" xfId="86" applyFont="1" applyFill="1" applyBorder="1" applyProtection="1">
      <protection locked="0"/>
    </xf>
    <xf numFmtId="43" fontId="9" fillId="30" borderId="0" xfId="86" applyFont="1" applyFill="1" applyBorder="1" applyAlignment="1" applyProtection="1">
      <alignment horizontal="right"/>
      <protection locked="0"/>
    </xf>
    <xf numFmtId="43" fontId="9" fillId="30" borderId="11" xfId="86" applyFont="1" applyFill="1" applyBorder="1" applyAlignment="1" applyProtection="1">
      <alignment horizontal="right"/>
      <protection locked="0"/>
    </xf>
    <xf numFmtId="43" fontId="9" fillId="30" borderId="0" xfId="86" applyFont="1" applyFill="1" applyBorder="1" applyAlignment="1" applyProtection="1">
      <alignment horizontal="left"/>
      <protection locked="0"/>
    </xf>
    <xf numFmtId="43" fontId="9" fillId="30" borderId="0" xfId="86" applyFont="1" applyFill="1" applyBorder="1" applyAlignment="1" applyProtection="1">
      <alignment horizontal="center"/>
      <protection locked="0"/>
    </xf>
    <xf numFmtId="0" fontId="124" fillId="0" borderId="29" xfId="0" applyFont="1" applyBorder="1" applyAlignment="1">
      <alignment horizontal="center" wrapText="1"/>
    </xf>
    <xf numFmtId="0" fontId="7" fillId="0" borderId="0" xfId="208" quotePrefix="1" applyFont="1" applyAlignment="1">
      <alignment horizontal="center" wrapText="1"/>
    </xf>
    <xf numFmtId="0" fontId="14" fillId="0" borderId="0" xfId="0" applyFont="1" applyAlignment="1">
      <alignment wrapText="1"/>
    </xf>
    <xf numFmtId="170" fontId="147" fillId="0" borderId="0" xfId="0" applyNumberFormat="1" applyFont="1" applyAlignment="1">
      <alignment horizontal="right"/>
    </xf>
    <xf numFmtId="170" fontId="147" fillId="0" borderId="0" xfId="0" applyNumberFormat="1" applyFont="1" applyAlignment="1">
      <alignment horizontal="center"/>
    </xf>
    <xf numFmtId="0" fontId="123" fillId="0" borderId="0" xfId="0" applyFont="1" applyAlignment="1">
      <alignment wrapText="1"/>
    </xf>
    <xf numFmtId="10" fontId="6" fillId="0" borderId="0" xfId="270" applyNumberFormat="1" applyFont="1" applyFill="1" applyAlignment="1" applyProtection="1"/>
    <xf numFmtId="37" fontId="155" fillId="30" borderId="0" xfId="0" applyNumberFormat="1" applyFont="1" applyFill="1" applyProtection="1">
      <protection locked="0"/>
    </xf>
    <xf numFmtId="171" fontId="141" fillId="34" borderId="0" xfId="256" applyNumberFormat="1" applyFont="1" applyFill="1" applyProtection="1">
      <protection locked="0"/>
    </xf>
    <xf numFmtId="193" fontId="64" fillId="30" borderId="0" xfId="163" applyNumberFormat="1" applyFont="1" applyFill="1" applyAlignment="1" applyProtection="1">
      <alignment horizontal="left"/>
      <protection locked="0"/>
    </xf>
    <xf numFmtId="3" fontId="126" fillId="30" borderId="0" xfId="163" applyNumberFormat="1" applyFont="1" applyFill="1" applyProtection="1">
      <protection locked="0"/>
    </xf>
    <xf numFmtId="37" fontId="9" fillId="30" borderId="0" xfId="163" applyNumberFormat="1" applyFont="1" applyFill="1" applyProtection="1">
      <protection locked="0"/>
    </xf>
    <xf numFmtId="173" fontId="13" fillId="0" borderId="0" xfId="88" applyNumberFormat="1" applyProtection="1"/>
    <xf numFmtId="173" fontId="13" fillId="0" borderId="0" xfId="88" applyNumberFormat="1" applyFill="1" applyProtection="1"/>
    <xf numFmtId="3" fontId="64" fillId="30" borderId="0" xfId="163" applyNumberFormat="1" applyFont="1" applyFill="1" applyProtection="1">
      <protection locked="0"/>
    </xf>
    <xf numFmtId="3" fontId="64" fillId="30" borderId="0" xfId="163" quotePrefix="1" applyNumberFormat="1" applyFont="1" applyFill="1" applyProtection="1">
      <protection locked="0"/>
    </xf>
    <xf numFmtId="10" fontId="6" fillId="0" borderId="16" xfId="257" applyNumberFormat="1" applyFont="1" applyBorder="1" applyProtection="1"/>
    <xf numFmtId="10" fontId="79" fillId="30" borderId="0" xfId="269" applyNumberFormat="1" applyFont="1" applyFill="1" applyBorder="1" applyProtection="1">
      <protection locked="0"/>
    </xf>
    <xf numFmtId="173" fontId="79" fillId="32" borderId="11" xfId="258" applyNumberFormat="1" applyFont="1" applyFill="1" applyBorder="1" applyProtection="1">
      <protection locked="0"/>
    </xf>
    <xf numFmtId="0" fontId="6" fillId="26" borderId="0" xfId="0" applyFont="1" applyFill="1" applyProtection="1">
      <protection locked="0"/>
    </xf>
    <xf numFmtId="0" fontId="25" fillId="0" borderId="0" xfId="211" applyFont="1"/>
    <xf numFmtId="0" fontId="25" fillId="0" borderId="0" xfId="211" applyFont="1" applyAlignment="1">
      <alignment horizontal="center"/>
    </xf>
    <xf numFmtId="0" fontId="13" fillId="0" borderId="0" xfId="211" applyFont="1" applyAlignment="1">
      <alignment horizontal="right"/>
    </xf>
    <xf numFmtId="14" fontId="25" fillId="0" borderId="0" xfId="211" applyNumberFormat="1" applyFont="1"/>
    <xf numFmtId="0" fontId="25" fillId="0" borderId="0" xfId="163" applyFont="1"/>
    <xf numFmtId="9" fontId="25" fillId="0" borderId="0" xfId="269" applyFont="1"/>
    <xf numFmtId="41" fontId="25" fillId="0" borderId="0" xfId="211" applyNumberFormat="1" applyFont="1"/>
    <xf numFmtId="10" fontId="25" fillId="0" borderId="0" xfId="271" applyNumberFormat="1" applyFont="1"/>
    <xf numFmtId="0" fontId="25" fillId="0" borderId="0" xfId="0" applyFont="1"/>
    <xf numFmtId="0" fontId="25" fillId="0" borderId="11" xfId="211" applyFont="1" applyBorder="1"/>
    <xf numFmtId="0" fontId="26" fillId="0" borderId="11" xfId="211" applyFont="1" applyBorder="1" applyAlignment="1">
      <alignment horizontal="center"/>
    </xf>
    <xf numFmtId="0" fontId="26" fillId="0" borderId="11" xfId="211" applyFont="1" applyBorder="1" applyAlignment="1">
      <alignment horizontal="center" wrapText="1"/>
    </xf>
    <xf numFmtId="0" fontId="26" fillId="0" borderId="13" xfId="211" applyFont="1" applyBorder="1" applyAlignment="1">
      <alignment horizontal="center" wrapText="1"/>
    </xf>
    <xf numFmtId="0" fontId="26" fillId="0" borderId="0" xfId="211" applyFont="1" applyAlignment="1">
      <alignment horizontal="center"/>
    </xf>
    <xf numFmtId="0" fontId="26" fillId="0" borderId="0" xfId="211" applyFont="1" applyAlignment="1">
      <alignment horizontal="center" wrapText="1"/>
    </xf>
    <xf numFmtId="0" fontId="26" fillId="0" borderId="0" xfId="211" applyFont="1" applyAlignment="1">
      <alignment horizontal="left"/>
    </xf>
    <xf numFmtId="0" fontId="25" fillId="35" borderId="0" xfId="211" applyFont="1" applyFill="1"/>
    <xf numFmtId="49" fontId="25" fillId="0" borderId="0" xfId="211" applyNumberFormat="1" applyFont="1" applyAlignment="1">
      <alignment horizontal="center"/>
    </xf>
    <xf numFmtId="173" fontId="25" fillId="30" borderId="12" xfId="251" applyNumberFormat="1" applyFont="1" applyFill="1" applyBorder="1" applyProtection="1">
      <protection locked="0"/>
    </xf>
    <xf numFmtId="173" fontId="25" fillId="36" borderId="12" xfId="112" applyNumberFormat="1" applyFont="1" applyFill="1" applyBorder="1"/>
    <xf numFmtId="41" fontId="25" fillId="30" borderId="12" xfId="251" applyNumberFormat="1" applyFont="1" applyFill="1" applyBorder="1" applyProtection="1">
      <protection locked="0"/>
    </xf>
    <xf numFmtId="173" fontId="25" fillId="0" borderId="47" xfId="112" applyNumberFormat="1" applyFont="1" applyFill="1" applyBorder="1"/>
    <xf numFmtId="173" fontId="25" fillId="0" borderId="12" xfId="112" applyNumberFormat="1" applyFont="1" applyFill="1" applyBorder="1"/>
    <xf numFmtId="41" fontId="25" fillId="30" borderId="0" xfId="251" applyNumberFormat="1" applyFont="1" applyFill="1" applyProtection="1">
      <protection locked="0"/>
    </xf>
    <xf numFmtId="41" fontId="25" fillId="0" borderId="0" xfId="211" applyNumberFormat="1" applyFont="1" applyAlignment="1">
      <alignment horizontal="center"/>
    </xf>
    <xf numFmtId="0" fontId="26" fillId="0" borderId="0" xfId="211" applyFont="1"/>
    <xf numFmtId="173" fontId="25" fillId="0" borderId="0" xfId="211" applyNumberFormat="1" applyFont="1"/>
    <xf numFmtId="173" fontId="25" fillId="36" borderId="47" xfId="112" applyNumberFormat="1" applyFont="1" applyFill="1" applyBorder="1"/>
    <xf numFmtId="41" fontId="25" fillId="0" borderId="12" xfId="163" applyNumberFormat="1" applyFont="1" applyBorder="1"/>
    <xf numFmtId="41" fontId="25" fillId="30" borderId="34" xfId="251" applyNumberFormat="1" applyFont="1" applyFill="1" applyBorder="1" applyAlignment="1" applyProtection="1">
      <alignment vertical="center" wrapText="1"/>
      <protection locked="0"/>
    </xf>
    <xf numFmtId="173" fontId="25" fillId="0" borderId="0" xfId="86" applyNumberFormat="1" applyFont="1" applyBorder="1" applyAlignment="1">
      <alignment horizontal="center"/>
    </xf>
    <xf numFmtId="41" fontId="25" fillId="30" borderId="34" xfId="251" applyNumberFormat="1" applyFont="1" applyFill="1" applyBorder="1" applyAlignment="1" applyProtection="1">
      <alignment vertical="top"/>
      <protection locked="0"/>
    </xf>
    <xf numFmtId="0" fontId="25" fillId="0" borderId="0" xfId="211" applyFont="1" applyAlignment="1">
      <alignment wrapText="1"/>
    </xf>
    <xf numFmtId="173" fontId="25" fillId="36" borderId="0" xfId="112" applyNumberFormat="1" applyFont="1" applyFill="1" applyBorder="1"/>
    <xf numFmtId="173" fontId="25" fillId="30" borderId="48" xfId="251" applyNumberFormat="1" applyFont="1" applyFill="1" applyBorder="1" applyProtection="1">
      <protection locked="0"/>
    </xf>
    <xf numFmtId="173" fontId="25" fillId="0" borderId="0" xfId="112" applyNumberFormat="1" applyFont="1" applyFill="1" applyBorder="1"/>
    <xf numFmtId="173" fontId="25" fillId="0" borderId="0" xfId="112" applyNumberFormat="1" applyFont="1" applyBorder="1" applyAlignment="1">
      <alignment wrapText="1"/>
    </xf>
    <xf numFmtId="0" fontId="25" fillId="0" borderId="0" xfId="211" applyFont="1" applyAlignment="1">
      <alignment horizontal="left"/>
    </xf>
    <xf numFmtId="1" fontId="25" fillId="0" borderId="14" xfId="86" applyNumberFormat="1" applyFont="1" applyBorder="1" applyAlignment="1"/>
    <xf numFmtId="173" fontId="25" fillId="0" borderId="14" xfId="86" applyNumberFormat="1" applyFont="1" applyBorder="1" applyAlignment="1"/>
    <xf numFmtId="177" fontId="25" fillId="0" borderId="14" xfId="86" applyNumberFormat="1" applyFont="1" applyBorder="1" applyAlignment="1"/>
    <xf numFmtId="173" fontId="25" fillId="0" borderId="0" xfId="112" applyNumberFormat="1" applyFont="1" applyAlignment="1">
      <alignment wrapText="1"/>
    </xf>
    <xf numFmtId="1" fontId="25" fillId="0" borderId="0" xfId="86" applyNumberFormat="1" applyFont="1" applyBorder="1" applyAlignment="1"/>
    <xf numFmtId="177" fontId="25" fillId="0" borderId="0" xfId="86" applyNumberFormat="1" applyFont="1" applyBorder="1" applyAlignment="1"/>
    <xf numFmtId="173" fontId="25" fillId="0" borderId="1" xfId="86" applyNumberFormat="1" applyFont="1" applyBorder="1" applyAlignment="1">
      <alignment horizontal="center"/>
    </xf>
    <xf numFmtId="173" fontId="25" fillId="0" borderId="0" xfId="86" applyNumberFormat="1" applyFont="1" applyBorder="1" applyAlignment="1"/>
    <xf numFmtId="0" fontId="25" fillId="0" borderId="0" xfId="211" applyFont="1" applyAlignment="1">
      <alignment horizontal="left" vertical="center"/>
    </xf>
    <xf numFmtId="0" fontId="25" fillId="0" borderId="0" xfId="211" applyFont="1" applyAlignment="1">
      <alignment vertical="top" wrapText="1"/>
    </xf>
    <xf numFmtId="0" fontId="25" fillId="0" borderId="0" xfId="211" applyFont="1" applyAlignment="1">
      <alignment vertical="top"/>
    </xf>
    <xf numFmtId="0" fontId="26" fillId="0" borderId="0" xfId="211" applyFont="1" applyAlignment="1">
      <alignment horizontal="left" vertical="center"/>
    </xf>
    <xf numFmtId="173" fontId="25" fillId="0" borderId="0" xfId="211" applyNumberFormat="1" applyFont="1" applyAlignment="1">
      <alignment horizontal="left" vertical="center"/>
    </xf>
    <xf numFmtId="173" fontId="13" fillId="32" borderId="0" xfId="0" applyNumberFormat="1" applyFont="1" applyFill="1"/>
    <xf numFmtId="0" fontId="4" fillId="0" borderId="0" xfId="260" applyAlignment="1">
      <alignment horizontal="left"/>
    </xf>
    <xf numFmtId="194" fontId="4" fillId="0" borderId="0" xfId="260" applyNumberFormat="1"/>
    <xf numFmtId="41" fontId="9" fillId="33" borderId="0" xfId="251" applyNumberFormat="1" applyFont="1" applyFill="1" applyProtection="1">
      <protection locked="0"/>
    </xf>
    <xf numFmtId="37" fontId="0" fillId="33" borderId="0" xfId="0" applyNumberFormat="1" applyFill="1"/>
    <xf numFmtId="37" fontId="0" fillId="0" borderId="0" xfId="0" applyNumberFormat="1"/>
    <xf numFmtId="49" fontId="13" fillId="0" borderId="0" xfId="225" applyNumberFormat="1"/>
    <xf numFmtId="0" fontId="13" fillId="0" borderId="0" xfId="225"/>
    <xf numFmtId="0" fontId="6" fillId="0" borderId="0" xfId="225" applyFont="1" applyAlignment="1">
      <alignment horizontal="right"/>
    </xf>
    <xf numFmtId="0" fontId="25" fillId="0" borderId="0" xfId="211" applyFont="1" applyAlignment="1">
      <alignment horizontal="right"/>
    </xf>
    <xf numFmtId="173" fontId="13" fillId="0" borderId="0" xfId="102" applyNumberFormat="1" applyFont="1"/>
    <xf numFmtId="1" fontId="13" fillId="0" borderId="0" xfId="211" applyNumberFormat="1" applyFont="1"/>
    <xf numFmtId="1" fontId="13" fillId="0" borderId="0" xfId="225" applyNumberFormat="1"/>
    <xf numFmtId="41" fontId="10" fillId="0" borderId="0" xfId="251" applyNumberFormat="1" applyFont="1" applyAlignment="1" applyProtection="1">
      <alignment horizontal="center"/>
      <protection locked="0"/>
    </xf>
    <xf numFmtId="1" fontId="13" fillId="0" borderId="0" xfId="225" applyNumberFormat="1" applyAlignment="1">
      <alignment horizontal="center"/>
    </xf>
    <xf numFmtId="0" fontId="13" fillId="0" borderId="0" xfId="225" applyAlignment="1">
      <alignment horizontal="center"/>
    </xf>
    <xf numFmtId="0" fontId="13" fillId="0" borderId="0" xfId="225" applyAlignment="1">
      <alignment horizontal="center" wrapText="1"/>
    </xf>
    <xf numFmtId="0" fontId="13" fillId="0" borderId="0" xfId="225" applyAlignment="1">
      <alignment wrapText="1"/>
    </xf>
    <xf numFmtId="2" fontId="13" fillId="0" borderId="0" xfId="225" applyNumberFormat="1"/>
    <xf numFmtId="173" fontId="13" fillId="0" borderId="0" xfId="102" applyNumberFormat="1" applyFont="1" applyFill="1"/>
    <xf numFmtId="49" fontId="13" fillId="0" borderId="0" xfId="102" applyNumberFormat="1" applyFont="1"/>
    <xf numFmtId="10" fontId="0" fillId="0" borderId="0" xfId="283" applyNumberFormat="1" applyFont="1" applyFill="1"/>
    <xf numFmtId="9" fontId="0" fillId="0" borderId="0" xfId="283" applyFont="1" applyFill="1" applyAlignment="1">
      <alignment horizontal="center"/>
    </xf>
    <xf numFmtId="9" fontId="13" fillId="0" borderId="0" xfId="283" applyFont="1" applyFill="1"/>
    <xf numFmtId="9" fontId="0" fillId="0" borderId="0" xfId="283" applyFont="1" applyFill="1"/>
    <xf numFmtId="173" fontId="102" fillId="0" borderId="0" xfId="102" applyNumberFormat="1" applyFont="1"/>
    <xf numFmtId="199" fontId="0" fillId="0" borderId="0" xfId="102" applyNumberFormat="1" applyFont="1" applyFill="1"/>
    <xf numFmtId="173" fontId="13" fillId="0" borderId="11" xfId="102" applyNumberFormat="1" applyFont="1" applyBorder="1"/>
    <xf numFmtId="0" fontId="4" fillId="0" borderId="0" xfId="225" applyFont="1"/>
    <xf numFmtId="9" fontId="0" fillId="0" borderId="0" xfId="283" applyFont="1"/>
    <xf numFmtId="173" fontId="13" fillId="0" borderId="13" xfId="102" applyNumberFormat="1" applyFont="1" applyBorder="1"/>
    <xf numFmtId="173" fontId="13" fillId="0" borderId="0" xfId="102" applyNumberFormat="1" applyFont="1" applyBorder="1"/>
    <xf numFmtId="9" fontId="13" fillId="0" borderId="0" xfId="283" applyFont="1"/>
    <xf numFmtId="0" fontId="13" fillId="0" borderId="0" xfId="225" applyAlignment="1">
      <alignment horizontal="left" wrapText="1"/>
    </xf>
    <xf numFmtId="170" fontId="145" fillId="30" borderId="0" xfId="256" applyNumberFormat="1" applyFont="1" applyFill="1" applyAlignment="1" applyProtection="1">
      <alignment horizontal="right"/>
      <protection locked="0"/>
    </xf>
    <xf numFmtId="169" fontId="6" fillId="0" borderId="17" xfId="257" applyNumberFormat="1" applyFont="1" applyBorder="1" applyProtection="1"/>
    <xf numFmtId="3" fontId="6" fillId="30" borderId="0" xfId="0" quotePrefix="1" applyNumberFormat="1" applyFont="1" applyFill="1" applyAlignment="1" applyProtection="1">
      <alignment horizontal="center"/>
      <protection locked="0"/>
    </xf>
    <xf numFmtId="41" fontId="9" fillId="0" borderId="0" xfId="251" applyNumberFormat="1" applyFont="1" applyProtection="1">
      <protection locked="0"/>
    </xf>
    <xf numFmtId="173" fontId="79" fillId="0" borderId="0" xfId="258" applyNumberFormat="1" applyFont="1" applyAlignment="1" applyProtection="1">
      <alignment horizontal="center"/>
      <protection locked="0"/>
    </xf>
    <xf numFmtId="0" fontId="10" fillId="0" borderId="0" xfId="335" applyFont="1" applyAlignment="1">
      <alignment horizontal="center" wrapText="1"/>
    </xf>
    <xf numFmtId="0" fontId="10" fillId="0" borderId="35" xfId="335" applyFont="1" applyBorder="1" applyAlignment="1">
      <alignment horizontal="center" wrapText="1"/>
    </xf>
    <xf numFmtId="0" fontId="10" fillId="0" borderId="0" xfId="335" applyFont="1" applyAlignment="1">
      <alignment horizontal="center"/>
    </xf>
    <xf numFmtId="0" fontId="10" fillId="0" borderId="35" xfId="335" applyFont="1" applyBorder="1" applyAlignment="1">
      <alignment horizontal="center"/>
    </xf>
    <xf numFmtId="3" fontId="25" fillId="0" borderId="11" xfId="336" applyNumberFormat="1" applyFont="1" applyBorder="1" applyAlignment="1">
      <alignment horizontal="center" wrapText="1"/>
    </xf>
    <xf numFmtId="3" fontId="25" fillId="0" borderId="37" xfId="336" applyNumberFormat="1" applyFont="1" applyBorder="1" applyAlignment="1">
      <alignment horizontal="center" wrapText="1"/>
    </xf>
    <xf numFmtId="173" fontId="9" fillId="26" borderId="0" xfId="337" applyNumberFormat="1" applyFont="1" applyFill="1" applyBorder="1" applyAlignment="1">
      <alignment horizontal="right"/>
    </xf>
    <xf numFmtId="173" fontId="9" fillId="26" borderId="35" xfId="337" applyNumberFormat="1" applyFont="1" applyFill="1" applyBorder="1" applyAlignment="1">
      <alignment horizontal="right"/>
    </xf>
    <xf numFmtId="173" fontId="9" fillId="26" borderId="37" xfId="337" applyNumberFormat="1" applyFont="1" applyFill="1" applyBorder="1" applyAlignment="1">
      <alignment horizontal="right"/>
    </xf>
    <xf numFmtId="173" fontId="3" fillId="0" borderId="14" xfId="337" applyNumberFormat="1" applyFont="1" applyBorder="1"/>
    <xf numFmtId="173" fontId="3" fillId="0" borderId="41" xfId="337" applyNumberFormat="1" applyFont="1" applyBorder="1"/>
    <xf numFmtId="0" fontId="10" fillId="0" borderId="2" xfId="335" applyFont="1" applyBorder="1" applyAlignment="1">
      <alignment horizontal="center" wrapText="1"/>
    </xf>
    <xf numFmtId="0" fontId="10" fillId="0" borderId="33" xfId="335" applyFont="1" applyBorder="1" applyAlignment="1">
      <alignment horizontal="center" wrapText="1"/>
    </xf>
    <xf numFmtId="173" fontId="9" fillId="26" borderId="33" xfId="337" applyNumberFormat="1" applyFont="1" applyFill="1" applyBorder="1" applyAlignment="1">
      <alignment horizontal="right"/>
    </xf>
    <xf numFmtId="0" fontId="155" fillId="0" borderId="2" xfId="0" applyFont="1" applyBorder="1"/>
    <xf numFmtId="0" fontId="155" fillId="0" borderId="33" xfId="0" applyFont="1" applyBorder="1"/>
    <xf numFmtId="3" fontId="3" fillId="0" borderId="11" xfId="336" applyNumberFormat="1" applyBorder="1" applyAlignment="1">
      <alignment horizontal="center" wrapText="1"/>
    </xf>
    <xf numFmtId="3" fontId="3" fillId="0" borderId="37" xfId="336" applyNumberFormat="1" applyBorder="1" applyAlignment="1">
      <alignment horizontal="center" wrapText="1"/>
    </xf>
    <xf numFmtId="173" fontId="155" fillId="26" borderId="0" xfId="337" applyNumberFormat="1" applyFont="1" applyFill="1" applyBorder="1" applyAlignment="1">
      <alignment horizontal="right"/>
    </xf>
    <xf numFmtId="173" fontId="155" fillId="26" borderId="33" xfId="337" applyNumberFormat="1" applyFont="1" applyFill="1" applyBorder="1" applyAlignment="1">
      <alignment horizontal="right"/>
    </xf>
    <xf numFmtId="173" fontId="155" fillId="26" borderId="35" xfId="337" applyNumberFormat="1" applyFont="1" applyFill="1" applyBorder="1" applyAlignment="1">
      <alignment horizontal="right"/>
    </xf>
    <xf numFmtId="173" fontId="155" fillId="26" borderId="37" xfId="337" applyNumberFormat="1" applyFont="1" applyFill="1" applyBorder="1" applyAlignment="1">
      <alignment horizontal="right"/>
    </xf>
    <xf numFmtId="0" fontId="10" fillId="0" borderId="2" xfId="261" applyFont="1" applyBorder="1" applyAlignment="1">
      <alignment horizontal="center" wrapText="1"/>
    </xf>
    <xf numFmtId="0" fontId="10" fillId="0" borderId="0" xfId="249" applyFont="1" applyAlignment="1">
      <alignment horizontal="center" wrapText="1"/>
    </xf>
    <xf numFmtId="173" fontId="9" fillId="26" borderId="2" xfId="108" applyNumberFormat="1" applyFont="1" applyFill="1" applyBorder="1" applyAlignment="1" applyProtection="1">
      <protection locked="0"/>
    </xf>
    <xf numFmtId="173" fontId="9" fillId="26" borderId="0" xfId="108" applyNumberFormat="1" applyFont="1" applyFill="1" applyBorder="1" applyAlignment="1" applyProtection="1">
      <protection locked="0"/>
    </xf>
    <xf numFmtId="173" fontId="9" fillId="26" borderId="11" xfId="108" applyNumberFormat="1" applyFont="1" applyFill="1" applyBorder="1" applyAlignment="1" applyProtection="1">
      <protection locked="0"/>
    </xf>
    <xf numFmtId="0" fontId="3" fillId="0" borderId="0" xfId="336" applyAlignment="1">
      <alignment horizontal="center"/>
    </xf>
    <xf numFmtId="38" fontId="3" fillId="0" borderId="0" xfId="0" applyNumberFormat="1" applyFont="1"/>
    <xf numFmtId="3" fontId="3" fillId="0" borderId="0" xfId="336" applyNumberFormat="1"/>
    <xf numFmtId="0" fontId="3" fillId="0" borderId="0" xfId="336" applyAlignment="1">
      <alignment horizontal="left"/>
    </xf>
    <xf numFmtId="173" fontId="3" fillId="0" borderId="0" xfId="337" applyNumberFormat="1" applyFont="1" applyFill="1" applyBorder="1" applyAlignment="1" applyProtection="1">
      <alignment horizontal="right"/>
    </xf>
    <xf numFmtId="3" fontId="157" fillId="26" borderId="0" xfId="257" applyNumberFormat="1" applyFont="1" applyFill="1" applyProtection="1">
      <protection locked="0"/>
    </xf>
    <xf numFmtId="173" fontId="6" fillId="0" borderId="6" xfId="86" applyNumberFormat="1" applyFont="1" applyFill="1" applyBorder="1" applyAlignment="1" applyProtection="1"/>
    <xf numFmtId="43" fontId="6" fillId="0" borderId="0" xfId="257" applyNumberFormat="1" applyFont="1" applyProtection="1"/>
    <xf numFmtId="43" fontId="3" fillId="0" borderId="0" xfId="86" applyFont="1" applyAlignment="1" applyProtection="1"/>
    <xf numFmtId="3" fontId="157" fillId="0" borderId="0" xfId="257" applyNumberFormat="1" applyFont="1" applyAlignment="1" applyProtection="1">
      <alignment horizontal="center"/>
    </xf>
    <xf numFmtId="41" fontId="157" fillId="26" borderId="6" xfId="257" applyNumberFormat="1" applyFont="1" applyFill="1" applyBorder="1" applyProtection="1">
      <protection locked="0"/>
    </xf>
    <xf numFmtId="3" fontId="157" fillId="0" borderId="0" xfId="257" applyNumberFormat="1" applyFont="1" applyProtection="1"/>
    <xf numFmtId="173" fontId="25" fillId="36" borderId="12" xfId="338" applyNumberFormat="1" applyFont="1" applyFill="1" applyBorder="1"/>
    <xf numFmtId="41" fontId="25" fillId="30" borderId="12" xfId="252" applyNumberFormat="1" applyFont="1" applyFill="1" applyBorder="1" applyProtection="1">
      <protection locked="0"/>
    </xf>
    <xf numFmtId="173" fontId="25" fillId="36" borderId="47" xfId="338" applyNumberFormat="1" applyFont="1" applyFill="1" applyBorder="1"/>
    <xf numFmtId="173" fontId="25" fillId="0" borderId="47" xfId="338" applyNumberFormat="1" applyFont="1" applyFill="1" applyBorder="1"/>
    <xf numFmtId="0" fontId="25" fillId="0" borderId="0" xfId="339" applyFont="1"/>
    <xf numFmtId="173" fontId="25" fillId="36" borderId="0" xfId="340" applyNumberFormat="1" applyFont="1" applyFill="1" applyBorder="1"/>
    <xf numFmtId="41" fontId="25" fillId="30" borderId="48" xfId="252" applyNumberFormat="1" applyFont="1" applyFill="1" applyBorder="1" applyProtection="1">
      <protection locked="0"/>
    </xf>
    <xf numFmtId="173" fontId="25" fillId="0" borderId="12" xfId="340" applyNumberFormat="1" applyFont="1" applyFill="1" applyBorder="1"/>
    <xf numFmtId="173" fontId="25" fillId="0" borderId="0" xfId="340" applyNumberFormat="1" applyFont="1" applyFill="1" applyBorder="1"/>
    <xf numFmtId="3" fontId="109" fillId="31" borderId="0" xfId="257" applyNumberFormat="1" applyFont="1" applyFill="1" applyAlignment="1" applyProtection="1">
      <alignment horizontal="center"/>
    </xf>
    <xf numFmtId="3" fontId="11" fillId="0" borderId="0" xfId="257" applyNumberFormat="1" applyFont="1" applyAlignment="1" applyProtection="1">
      <alignment horizontal="center"/>
    </xf>
    <xf numFmtId="0" fontId="6" fillId="0" borderId="0" xfId="0" applyFont="1" applyAlignment="1">
      <alignment wrapText="1"/>
    </xf>
    <xf numFmtId="0" fontId="13" fillId="0" borderId="0" xfId="0" applyFont="1" applyAlignment="1">
      <alignment wrapText="1"/>
    </xf>
    <xf numFmtId="0" fontId="6" fillId="32" borderId="0" xfId="257" applyNumberFormat="1" applyFont="1" applyFill="1" applyAlignment="1" applyProtection="1">
      <alignment horizontal="left" vertical="top" wrapText="1"/>
    </xf>
    <xf numFmtId="172" fontId="78" fillId="0" borderId="0" xfId="257" applyFont="1" applyAlignment="1" applyProtection="1">
      <alignment horizontal="left" wrapText="1"/>
    </xf>
    <xf numFmtId="49" fontId="6" fillId="0" borderId="0" xfId="257" applyNumberFormat="1" applyFont="1" applyAlignment="1" applyProtection="1">
      <alignment horizontal="center"/>
    </xf>
    <xf numFmtId="0" fontId="33" fillId="0" borderId="0" xfId="0" applyFont="1" applyAlignment="1">
      <alignment horizontal="center"/>
    </xf>
    <xf numFmtId="0" fontId="11" fillId="0" borderId="0" xfId="257" applyNumberFormat="1" applyFont="1" applyAlignment="1" applyProtection="1">
      <alignment horizontal="center"/>
    </xf>
    <xf numFmtId="0" fontId="14" fillId="0" borderId="0" xfId="0" applyFont="1"/>
    <xf numFmtId="0" fontId="0" fillId="0" borderId="0" xfId="0" applyAlignment="1">
      <alignment horizontal="center"/>
    </xf>
    <xf numFmtId="172" fontId="7" fillId="0" borderId="11" xfId="257" applyFont="1" applyBorder="1" applyAlignment="1" applyProtection="1">
      <alignment horizontal="center"/>
    </xf>
    <xf numFmtId="0" fontId="6" fillId="0" borderId="0" xfId="0" applyFont="1" applyAlignment="1">
      <alignment horizontal="left" vertical="top" wrapText="1"/>
    </xf>
    <xf numFmtId="172" fontId="6" fillId="0" borderId="0" xfId="257" applyFont="1" applyAlignment="1" applyProtection="1">
      <alignment horizontal="left" wrapText="1"/>
    </xf>
    <xf numFmtId="0" fontId="6" fillId="0" borderId="0" xfId="257" applyNumberFormat="1" applyFont="1" applyAlignment="1" applyProtection="1">
      <alignment vertical="top" wrapText="1"/>
    </xf>
    <xf numFmtId="0" fontId="13" fillId="0" borderId="0" xfId="0" applyFont="1"/>
    <xf numFmtId="0" fontId="27" fillId="0" borderId="0" xfId="257" applyNumberFormat="1" applyFont="1" applyAlignment="1" applyProtection="1">
      <alignment horizontal="left" wrapText="1"/>
    </xf>
    <xf numFmtId="172" fontId="6" fillId="0" borderId="0" xfId="257" applyFont="1" applyAlignment="1" applyProtection="1">
      <alignment horizontal="justify" wrapText="1"/>
    </xf>
    <xf numFmtId="0" fontId="13" fillId="0" borderId="0" xfId="0" applyFont="1" applyAlignment="1">
      <alignment horizontal="justify" wrapText="1"/>
    </xf>
    <xf numFmtId="172" fontId="27" fillId="0" borderId="0" xfId="257" applyFont="1" applyAlignment="1" applyProtection="1">
      <alignment vertical="top" wrapText="1"/>
    </xf>
    <xf numFmtId="0" fontId="27" fillId="0" borderId="0" xfId="0" applyFont="1" applyAlignment="1">
      <alignment vertical="top" wrapText="1"/>
    </xf>
    <xf numFmtId="172" fontId="27" fillId="0" borderId="0" xfId="257" applyFont="1" applyAlignment="1" applyProtection="1">
      <alignment wrapText="1"/>
    </xf>
    <xf numFmtId="172" fontId="6" fillId="0" borderId="0" xfId="257" applyFont="1" applyAlignment="1" applyProtection="1">
      <alignment vertical="top" wrapText="1"/>
    </xf>
    <xf numFmtId="172" fontId="108" fillId="0" borderId="0" xfId="257" applyFont="1" applyAlignment="1" applyProtection="1">
      <alignment wrapText="1"/>
    </xf>
    <xf numFmtId="0" fontId="33" fillId="0" borderId="0" xfId="0" applyFont="1" applyAlignment="1">
      <alignment wrapText="1"/>
    </xf>
    <xf numFmtId="0" fontId="6" fillId="0" borderId="0" xfId="257" applyNumberFormat="1" applyFont="1" applyAlignment="1" applyProtection="1">
      <alignment wrapText="1"/>
    </xf>
    <xf numFmtId="0" fontId="10" fillId="0" borderId="47" xfId="0" applyFont="1" applyBorder="1" applyAlignment="1">
      <alignment horizontal="center"/>
    </xf>
    <xf numFmtId="0" fontId="10" fillId="0" borderId="13" xfId="0" applyFont="1" applyBorder="1" applyAlignment="1">
      <alignment horizontal="center"/>
    </xf>
    <xf numFmtId="0" fontId="10" fillId="0" borderId="48" xfId="0" applyFont="1" applyBorder="1" applyAlignment="1">
      <alignment horizontal="center"/>
    </xf>
    <xf numFmtId="0" fontId="6" fillId="0" borderId="0" xfId="0" applyFont="1" applyAlignment="1">
      <alignment horizontal="center"/>
    </xf>
    <xf numFmtId="0" fontId="6" fillId="0" borderId="0" xfId="208" applyFont="1" applyAlignment="1">
      <alignment horizontal="center"/>
    </xf>
    <xf numFmtId="3" fontId="6" fillId="0" borderId="0" xfId="208" applyNumberFormat="1" applyFont="1" applyAlignment="1">
      <alignment horizontal="center"/>
    </xf>
    <xf numFmtId="0" fontId="10" fillId="0" borderId="47" xfId="261" applyFont="1" applyBorder="1" applyAlignment="1">
      <alignment horizontal="center" wrapText="1"/>
    </xf>
    <xf numFmtId="0" fontId="10" fillId="0" borderId="13" xfId="261" applyFont="1" applyBorder="1" applyAlignment="1">
      <alignment horizontal="center" wrapText="1"/>
    </xf>
    <xf numFmtId="0" fontId="10" fillId="0" borderId="48" xfId="261" applyFont="1" applyBorder="1" applyAlignment="1">
      <alignment horizontal="center" wrapText="1"/>
    </xf>
    <xf numFmtId="0" fontId="41" fillId="0" borderId="0" xfId="250" applyFont="1" applyAlignment="1">
      <alignment horizontal="center" wrapText="1"/>
    </xf>
    <xf numFmtId="0" fontId="64" fillId="0" borderId="11" xfId="0" applyFont="1" applyBorder="1" applyAlignment="1">
      <alignment horizontal="center" wrapText="1"/>
    </xf>
    <xf numFmtId="3" fontId="6" fillId="0" borderId="0" xfId="0" applyNumberFormat="1" applyFont="1" applyAlignment="1">
      <alignment horizontal="center"/>
    </xf>
    <xf numFmtId="0" fontId="41" fillId="0" borderId="0" xfId="208" quotePrefix="1" applyFont="1" applyAlignment="1">
      <alignment horizontal="center" wrapText="1"/>
    </xf>
    <xf numFmtId="41" fontId="25" fillId="30" borderId="34" xfId="251" applyNumberFormat="1" applyFont="1" applyFill="1" applyBorder="1" applyAlignment="1" applyProtection="1">
      <alignment horizontal="left" vertical="center" wrapText="1"/>
      <protection locked="0"/>
    </xf>
    <xf numFmtId="0" fontId="25" fillId="0" borderId="0" xfId="211" applyFont="1" applyAlignment="1">
      <alignment horizontal="center" wrapText="1"/>
    </xf>
    <xf numFmtId="0" fontId="25" fillId="0" borderId="0" xfId="211" applyFont="1" applyAlignment="1">
      <alignment horizontal="left" vertical="top" wrapText="1"/>
    </xf>
    <xf numFmtId="0" fontId="25" fillId="0" borderId="11" xfId="211" applyFont="1" applyBorder="1" applyAlignment="1">
      <alignment horizontal="center"/>
    </xf>
    <xf numFmtId="0" fontId="25" fillId="0" borderId="11" xfId="0" applyFont="1" applyBorder="1" applyAlignment="1">
      <alignment horizontal="center"/>
    </xf>
    <xf numFmtId="0" fontId="25" fillId="0" borderId="11" xfId="211" applyFont="1" applyBorder="1" applyAlignment="1">
      <alignment horizontal="center" wrapText="1"/>
    </xf>
    <xf numFmtId="0" fontId="26" fillId="0" borderId="0" xfId="211" applyFont="1" applyAlignment="1">
      <alignment horizontal="center" wrapText="1"/>
    </xf>
    <xf numFmtId="0" fontId="13" fillId="0" borderId="0" xfId="225" applyAlignment="1">
      <alignment horizontal="left" wrapText="1"/>
    </xf>
    <xf numFmtId="41" fontId="10" fillId="0" borderId="0" xfId="251" applyNumberFormat="1" applyFont="1" applyAlignment="1" applyProtection="1">
      <alignment horizontal="center"/>
      <protection locked="0"/>
    </xf>
    <xf numFmtId="0" fontId="13" fillId="0" borderId="0" xfId="225" applyAlignment="1">
      <alignment horizontal="center" wrapText="1"/>
    </xf>
    <xf numFmtId="0" fontId="13" fillId="0" borderId="0" xfId="225" applyAlignment="1">
      <alignment vertical="center" wrapText="1"/>
    </xf>
    <xf numFmtId="2" fontId="13" fillId="0" borderId="0" xfId="225" applyNumberFormat="1" applyAlignment="1">
      <alignment horizontal="left" wrapText="1"/>
    </xf>
    <xf numFmtId="0" fontId="18" fillId="0" borderId="0" xfId="250" applyFont="1" applyAlignment="1">
      <alignment horizontal="center" wrapText="1"/>
    </xf>
    <xf numFmtId="0" fontId="14" fillId="0" borderId="0" xfId="0" applyFont="1" applyAlignment="1">
      <alignment horizontal="center" wrapText="1"/>
    </xf>
    <xf numFmtId="0" fontId="13" fillId="0" borderId="0" xfId="208" applyAlignment="1">
      <alignment horizontal="left" wrapText="1"/>
    </xf>
    <xf numFmtId="0" fontId="82" fillId="0" borderId="0" xfId="208" applyFont="1" applyAlignment="1">
      <alignment horizontal="center"/>
    </xf>
    <xf numFmtId="0" fontId="82" fillId="0" borderId="0" xfId="250" applyFont="1" applyAlignment="1">
      <alignment horizontal="center"/>
    </xf>
    <xf numFmtId="0" fontId="18" fillId="0" borderId="0" xfId="208" quotePrefix="1" applyFont="1" applyAlignment="1">
      <alignment horizontal="center" wrapText="1"/>
    </xf>
    <xf numFmtId="0" fontId="82" fillId="0" borderId="0" xfId="0" applyFont="1" applyAlignment="1">
      <alignment horizontal="center"/>
    </xf>
    <xf numFmtId="172" fontId="110" fillId="0" borderId="0" xfId="257" applyFont="1" applyAlignment="1" applyProtection="1">
      <alignment wrapText="1"/>
    </xf>
    <xf numFmtId="0" fontId="121" fillId="0" borderId="0" xfId="0" applyFont="1" applyAlignment="1">
      <alignment wrapText="1"/>
    </xf>
    <xf numFmtId="172" fontId="13" fillId="0" borderId="0" xfId="257" applyFont="1" applyAlignment="1" applyProtection="1">
      <alignment horizontal="left" vertical="top" wrapText="1"/>
    </xf>
    <xf numFmtId="0" fontId="95" fillId="0" borderId="0" xfId="262" applyFont="1" applyAlignment="1">
      <alignment wrapText="1"/>
    </xf>
    <xf numFmtId="3" fontId="5" fillId="0" borderId="0" xfId="0" applyNumberFormat="1" applyFont="1" applyAlignment="1">
      <alignment horizontal="center"/>
    </xf>
    <xf numFmtId="0" fontId="11" fillId="0" borderId="0" xfId="262" applyFont="1" applyAlignment="1">
      <alignment horizontal="center"/>
    </xf>
    <xf numFmtId="0" fontId="75" fillId="0" borderId="11" xfId="258" applyFont="1" applyBorder="1" applyAlignment="1">
      <alignment horizontal="center"/>
    </xf>
    <xf numFmtId="0" fontId="72" fillId="0" borderId="0" xfId="258" applyFont="1" applyAlignment="1">
      <alignment horizontal="left" wrapText="1"/>
    </xf>
    <xf numFmtId="0" fontId="0" fillId="0" borderId="0" xfId="0"/>
    <xf numFmtId="0" fontId="72" fillId="0" borderId="0" xfId="258" applyFont="1" applyAlignment="1">
      <alignment wrapText="1"/>
    </xf>
    <xf numFmtId="49" fontId="6" fillId="0" borderId="0" xfId="86" applyNumberFormat="1" applyFont="1" applyAlignment="1">
      <alignment horizontal="center"/>
    </xf>
    <xf numFmtId="0" fontId="5" fillId="0" borderId="0" xfId="208" applyFont="1" applyAlignment="1">
      <alignment horizontal="center"/>
    </xf>
    <xf numFmtId="0" fontId="5" fillId="0" borderId="0" xfId="0" applyFont="1" applyAlignment="1">
      <alignment horizontal="center"/>
    </xf>
    <xf numFmtId="0" fontId="156" fillId="30" borderId="0" xfId="0" applyFont="1" applyFill="1" applyAlignment="1" applyProtection="1">
      <alignment horizontal="left" vertical="top" wrapText="1"/>
      <protection locked="0"/>
    </xf>
    <xf numFmtId="0" fontId="0" fillId="0" borderId="0" xfId="0" applyAlignment="1">
      <alignment horizontal="left" wrapText="1"/>
    </xf>
    <xf numFmtId="173" fontId="96" fillId="0" borderId="0" xfId="86" applyNumberFormat="1" applyFont="1" applyBorder="1" applyAlignment="1" applyProtection="1">
      <alignment horizontal="center"/>
    </xf>
    <xf numFmtId="0" fontId="5"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172" fontId="3" fillId="0" borderId="23" xfId="257" applyFont="1" applyBorder="1" applyAlignment="1" applyProtection="1">
      <alignment wrapText="1"/>
    </xf>
    <xf numFmtId="0" fontId="3" fillId="0" borderId="17" xfId="0" applyFont="1" applyBorder="1" applyAlignment="1">
      <alignment wrapText="1"/>
    </xf>
    <xf numFmtId="0" fontId="3" fillId="0" borderId="24" xfId="0" applyFont="1" applyBorder="1" applyAlignment="1">
      <alignment wrapText="1"/>
    </xf>
    <xf numFmtId="0" fontId="3" fillId="0" borderId="19" xfId="0" applyFont="1" applyBorder="1" applyAlignment="1">
      <alignment wrapText="1"/>
    </xf>
    <xf numFmtId="0" fontId="3" fillId="0" borderId="0" xfId="0" applyFont="1" applyAlignment="1">
      <alignment wrapText="1"/>
    </xf>
    <xf numFmtId="0" fontId="3" fillId="0" borderId="20" xfId="0" applyFont="1" applyBorder="1" applyAlignment="1">
      <alignment wrapText="1"/>
    </xf>
    <xf numFmtId="0" fontId="13" fillId="32" borderId="0" xfId="0" applyFont="1" applyFill="1" applyAlignment="1">
      <alignment wrapText="1"/>
    </xf>
    <xf numFmtId="0" fontId="0" fillId="32" borderId="0" xfId="0" applyFill="1" applyAlignment="1">
      <alignment wrapText="1"/>
    </xf>
    <xf numFmtId="0" fontId="13" fillId="0" borderId="0" xfId="252" applyAlignment="1">
      <alignment horizontal="left" wrapText="1"/>
    </xf>
    <xf numFmtId="0" fontId="13" fillId="0" borderId="0" xfId="182" applyAlignment="1">
      <alignment wrapText="1"/>
    </xf>
    <xf numFmtId="0" fontId="113" fillId="0" borderId="0" xfId="252" applyFont="1" applyAlignment="1">
      <alignment horizontal="left" wrapText="1"/>
    </xf>
    <xf numFmtId="0" fontId="64" fillId="0" borderId="0" xfId="163" applyFont="1" applyAlignment="1">
      <alignment horizontal="left" vertical="top" wrapText="1"/>
    </xf>
    <xf numFmtId="41" fontId="10" fillId="0" borderId="0" xfId="252" applyNumberFormat="1" applyFont="1" applyAlignment="1">
      <alignment horizontal="center" wrapText="1"/>
    </xf>
    <xf numFmtId="0" fontId="6" fillId="0" borderId="0" xfId="163" applyFont="1" applyAlignment="1">
      <alignment horizontal="center"/>
    </xf>
    <xf numFmtId="0" fontId="10" fillId="0" borderId="47" xfId="163" applyFont="1" applyBorder="1" applyAlignment="1">
      <alignment horizontal="center"/>
    </xf>
    <xf numFmtId="0" fontId="10" fillId="0" borderId="13" xfId="163" applyFont="1" applyBorder="1" applyAlignment="1">
      <alignment horizontal="center"/>
    </xf>
    <xf numFmtId="0" fontId="10" fillId="0" borderId="48" xfId="163" applyFont="1" applyBorder="1" applyAlignment="1">
      <alignment horizontal="center"/>
    </xf>
    <xf numFmtId="0" fontId="95" fillId="0" borderId="0" xfId="0" applyFont="1" applyAlignment="1">
      <alignment horizontal="center" wrapText="1"/>
    </xf>
    <xf numFmtId="0" fontId="10" fillId="0" borderId="0" xfId="0" applyFont="1" applyAlignment="1">
      <alignment horizontal="center" wrapText="1"/>
    </xf>
    <xf numFmtId="0" fontId="21" fillId="30" borderId="0" xfId="0" applyFont="1" applyFill="1" applyAlignment="1" applyProtection="1">
      <alignment wrapText="1"/>
      <protection locked="0"/>
    </xf>
    <xf numFmtId="0" fontId="10" fillId="0" borderId="0" xfId="0" applyFont="1" applyAlignment="1">
      <alignment horizontal="left" wrapText="1"/>
    </xf>
    <xf numFmtId="0" fontId="141" fillId="0" borderId="0" xfId="0" applyFont="1" applyAlignment="1">
      <alignment horizontal="left" vertical="center" wrapText="1"/>
    </xf>
    <xf numFmtId="0" fontId="141" fillId="0" borderId="0" xfId="208" applyFont="1" applyAlignment="1">
      <alignment horizontal="center"/>
    </xf>
    <xf numFmtId="3" fontId="141" fillId="0" borderId="0" xfId="208" applyNumberFormat="1" applyFont="1" applyAlignment="1">
      <alignment horizontal="center"/>
    </xf>
    <xf numFmtId="0" fontId="7" fillId="0" borderId="0" xfId="260" applyFont="1" applyAlignment="1">
      <alignment horizontal="left" wrapText="1"/>
    </xf>
    <xf numFmtId="0" fontId="6" fillId="0" borderId="0" xfId="260" applyFont="1" applyAlignment="1">
      <alignment horizontal="left" wrapText="1"/>
    </xf>
    <xf numFmtId="0" fontId="103" fillId="0" borderId="0" xfId="260" applyFont="1" applyAlignment="1">
      <alignment horizontal="center"/>
    </xf>
    <xf numFmtId="3" fontId="103" fillId="0" borderId="0" xfId="260" applyNumberFormat="1" applyFont="1" applyAlignment="1">
      <alignment horizontal="center"/>
    </xf>
    <xf numFmtId="0" fontId="78" fillId="0" borderId="11" xfId="260" applyFont="1" applyBorder="1" applyAlignment="1">
      <alignment wrapText="1"/>
    </xf>
    <xf numFmtId="0" fontId="0" fillId="0" borderId="11" xfId="0" applyBorder="1" applyAlignment="1">
      <alignment wrapText="1"/>
    </xf>
    <xf numFmtId="0" fontId="13" fillId="0" borderId="0" xfId="250" applyFont="1" applyAlignment="1">
      <alignment horizontal="left" vertical="top" wrapText="1"/>
    </xf>
    <xf numFmtId="0" fontId="10" fillId="0" borderId="0" xfId="264" applyFont="1" applyAlignment="1">
      <alignment horizontal="center"/>
    </xf>
    <xf numFmtId="0" fontId="78" fillId="0" borderId="0" xfId="0" applyFont="1" applyAlignment="1">
      <alignment horizontal="center"/>
    </xf>
    <xf numFmtId="0" fontId="7" fillId="0" borderId="0" xfId="0" applyFont="1" applyAlignment="1">
      <alignment horizontal="center"/>
    </xf>
    <xf numFmtId="0" fontId="123" fillId="0" borderId="0" xfId="0" applyFont="1" applyAlignment="1">
      <alignment horizontal="center" wrapText="1"/>
    </xf>
  </cellXfs>
  <cellStyles count="341">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12 2" xfId="87" xr:uid="{00000000-0005-0000-0000-000056000000}"/>
    <cellStyle name="Comma 2" xfId="88" xr:uid="{00000000-0005-0000-0000-000057000000}"/>
    <cellStyle name="Comma 2 2" xfId="89" xr:uid="{00000000-0005-0000-0000-000058000000}"/>
    <cellStyle name="Comma 2 2 2" xfId="337" xr:uid="{69E3454A-F66C-4B8C-B982-BCF57C011323}"/>
    <cellStyle name="Comma 3" xfId="90" xr:uid="{00000000-0005-0000-0000-000059000000}"/>
    <cellStyle name="Comma 3 2" xfId="91" xr:uid="{00000000-0005-0000-0000-00005A000000}"/>
    <cellStyle name="Comma 3 3" xfId="92" xr:uid="{00000000-0005-0000-0000-00005B000000}"/>
    <cellStyle name="Comma 3 3 2" xfId="93" xr:uid="{00000000-0005-0000-0000-00005C000000}"/>
    <cellStyle name="Comma 3 3 3" xfId="94" xr:uid="{00000000-0005-0000-0000-00005D000000}"/>
    <cellStyle name="Comma 3 4" xfId="95" xr:uid="{00000000-0005-0000-0000-00005E000000}"/>
    <cellStyle name="Comma 3 4 2" xfId="96" xr:uid="{00000000-0005-0000-0000-00005F000000}"/>
    <cellStyle name="Comma 3 4 3" xfId="97" xr:uid="{00000000-0005-0000-0000-000060000000}"/>
    <cellStyle name="Comma 3 5" xfId="98" xr:uid="{00000000-0005-0000-0000-000061000000}"/>
    <cellStyle name="Comma 3 5 2" xfId="99" xr:uid="{00000000-0005-0000-0000-000062000000}"/>
    <cellStyle name="Comma 3 6" xfId="100" xr:uid="{00000000-0005-0000-0000-000063000000}"/>
    <cellStyle name="Comma 3 7" xfId="101" xr:uid="{00000000-0005-0000-0000-000064000000}"/>
    <cellStyle name="Comma 4" xfId="102" xr:uid="{00000000-0005-0000-0000-000065000000}"/>
    <cellStyle name="Comma 4 2" xfId="103" xr:uid="{00000000-0005-0000-0000-000066000000}"/>
    <cellStyle name="Comma 4 2 2" xfId="104" xr:uid="{00000000-0005-0000-0000-000067000000}"/>
    <cellStyle name="Comma 4 3" xfId="105" xr:uid="{00000000-0005-0000-0000-000068000000}"/>
    <cellStyle name="Comma 5 2" xfId="106" xr:uid="{00000000-0005-0000-0000-000069000000}"/>
    <cellStyle name="Comma 6" xfId="107" xr:uid="{00000000-0005-0000-0000-00006A000000}"/>
    <cellStyle name="Comma 6 2" xfId="108" xr:uid="{00000000-0005-0000-0000-00006B000000}"/>
    <cellStyle name="Comma 6 2 2" xfId="109" xr:uid="{00000000-0005-0000-0000-00006C000000}"/>
    <cellStyle name="Comma 6 3" xfId="110" xr:uid="{00000000-0005-0000-0000-00006D000000}"/>
    <cellStyle name="Comma 7" xfId="111" xr:uid="{00000000-0005-0000-0000-00006E000000}"/>
    <cellStyle name="Comma 9" xfId="112" xr:uid="{00000000-0005-0000-0000-00006F000000}"/>
    <cellStyle name="Comma 9 3" xfId="340" xr:uid="{3461F3F7-BD99-49B5-84F2-2F1148F8918D}"/>
    <cellStyle name="Comma 9 3 2" xfId="338" xr:uid="{5D6409B8-FF80-4721-A251-E2171DF26A29}"/>
    <cellStyle name="Comma_spp calc - revsd rev crd" xfId="113" xr:uid="{00000000-0005-0000-0000-000070000000}"/>
    <cellStyle name="Comma_spp calc - revsd rev crd 2" xfId="114" xr:uid="{00000000-0005-0000-0000-000071000000}"/>
    <cellStyle name="Comma0" xfId="115" xr:uid="{00000000-0005-0000-0000-000072000000}"/>
    <cellStyle name="Currency" xfId="116" builtinId="4"/>
    <cellStyle name="Currency 2" xfId="117" xr:uid="{00000000-0005-0000-0000-000074000000}"/>
    <cellStyle name="Currency 2 2" xfId="118" xr:uid="{00000000-0005-0000-0000-000075000000}"/>
    <cellStyle name="Currency 3" xfId="119" xr:uid="{00000000-0005-0000-0000-000076000000}"/>
    <cellStyle name="Currency 3 2" xfId="120" xr:uid="{00000000-0005-0000-0000-000077000000}"/>
    <cellStyle name="Currency 3 3" xfId="121" xr:uid="{00000000-0005-0000-0000-000078000000}"/>
    <cellStyle name="Currency 3 3 2" xfId="122" xr:uid="{00000000-0005-0000-0000-000079000000}"/>
    <cellStyle name="Currency 3 3 3" xfId="123" xr:uid="{00000000-0005-0000-0000-00007A000000}"/>
    <cellStyle name="Currency 3 4" xfId="124" xr:uid="{00000000-0005-0000-0000-00007B000000}"/>
    <cellStyle name="Currency 3 4 2" xfId="125" xr:uid="{00000000-0005-0000-0000-00007C000000}"/>
    <cellStyle name="Currency 3 4 3" xfId="126" xr:uid="{00000000-0005-0000-0000-00007D000000}"/>
    <cellStyle name="Currency 3 5" xfId="127" xr:uid="{00000000-0005-0000-0000-00007E000000}"/>
    <cellStyle name="Currency 3 5 2" xfId="128" xr:uid="{00000000-0005-0000-0000-00007F000000}"/>
    <cellStyle name="Currency 3 6" xfId="129" xr:uid="{00000000-0005-0000-0000-000080000000}"/>
    <cellStyle name="Currency 4 2" xfId="130" xr:uid="{00000000-0005-0000-0000-000081000000}"/>
    <cellStyle name="Currency 4 2 2" xfId="131" xr:uid="{00000000-0005-0000-0000-000082000000}"/>
    <cellStyle name="Currency 4 3" xfId="132" xr:uid="{00000000-0005-0000-0000-000083000000}"/>
    <cellStyle name="Currency 5 2" xfId="133" xr:uid="{00000000-0005-0000-0000-000084000000}"/>
    <cellStyle name="Currency 6" xfId="134" xr:uid="{00000000-0005-0000-0000-000085000000}"/>
    <cellStyle name="Currency0" xfId="135" xr:uid="{00000000-0005-0000-0000-000086000000}"/>
    <cellStyle name="Date" xfId="136" xr:uid="{00000000-0005-0000-0000-000087000000}"/>
    <cellStyle name="Explanatory Text" xfId="137" builtinId="53" customBuiltin="1"/>
    <cellStyle name="Explanatory Text 2" xfId="138" xr:uid="{00000000-0005-0000-0000-000089000000}"/>
    <cellStyle name="Fixed" xfId="139" xr:uid="{00000000-0005-0000-0000-00008A000000}"/>
    <cellStyle name="Good" xfId="140" builtinId="26" customBuiltin="1"/>
    <cellStyle name="Good 2" xfId="141" xr:uid="{00000000-0005-0000-0000-00008C000000}"/>
    <cellStyle name="Heading 1" xfId="142" builtinId="16" customBuiltin="1"/>
    <cellStyle name="Heading 1 2" xfId="143" xr:uid="{00000000-0005-0000-0000-00008E000000}"/>
    <cellStyle name="Heading 2" xfId="144" builtinId="17" customBuiltin="1"/>
    <cellStyle name="Heading 2 2" xfId="145" xr:uid="{00000000-0005-0000-0000-000090000000}"/>
    <cellStyle name="Heading 3" xfId="146" builtinId="18" customBuiltin="1"/>
    <cellStyle name="Heading 3 2" xfId="147" xr:uid="{00000000-0005-0000-0000-000092000000}"/>
    <cellStyle name="Heading 4" xfId="148" builtinId="19" customBuiltin="1"/>
    <cellStyle name="Heading 4 2" xfId="149" xr:uid="{00000000-0005-0000-0000-000094000000}"/>
    <cellStyle name="Heading1" xfId="150" xr:uid="{00000000-0005-0000-0000-000095000000}"/>
    <cellStyle name="Heading2" xfId="151" xr:uid="{00000000-0005-0000-0000-000096000000}"/>
    <cellStyle name="Input" xfId="152" builtinId="20" customBuiltin="1"/>
    <cellStyle name="Input 2" xfId="153" xr:uid="{00000000-0005-0000-0000-000098000000}"/>
    <cellStyle name="Linked Cell" xfId="154" builtinId="24" customBuiltin="1"/>
    <cellStyle name="Linked Cell 2" xfId="155" xr:uid="{00000000-0005-0000-0000-00009A000000}"/>
    <cellStyle name="Neutral" xfId="156" builtinId="28" customBuiltin="1"/>
    <cellStyle name="Neutral 2" xfId="157" xr:uid="{00000000-0005-0000-0000-00009C000000}"/>
    <cellStyle name="Normal" xfId="0" builtinId="0"/>
    <cellStyle name="Normal 10" xfId="158" xr:uid="{00000000-0005-0000-0000-00009E000000}"/>
    <cellStyle name="Normal 10 2" xfId="159" xr:uid="{00000000-0005-0000-0000-00009F000000}"/>
    <cellStyle name="Normal 10 3" xfId="160" xr:uid="{00000000-0005-0000-0000-0000A0000000}"/>
    <cellStyle name="Normal 10 4" xfId="161" xr:uid="{00000000-0005-0000-0000-0000A1000000}"/>
    <cellStyle name="Normal 11" xfId="162" xr:uid="{00000000-0005-0000-0000-0000A2000000}"/>
    <cellStyle name="Normal 11 2" xfId="163" xr:uid="{00000000-0005-0000-0000-0000A3000000}"/>
    <cellStyle name="Normal 11 3" xfId="164" xr:uid="{00000000-0005-0000-0000-0000A4000000}"/>
    <cellStyle name="Normal 11 4" xfId="165" xr:uid="{00000000-0005-0000-0000-0000A5000000}"/>
    <cellStyle name="Normal 12" xfId="166" xr:uid="{00000000-0005-0000-0000-0000A6000000}"/>
    <cellStyle name="Normal 12 2" xfId="167" xr:uid="{00000000-0005-0000-0000-0000A7000000}"/>
    <cellStyle name="Normal 12 4" xfId="168" xr:uid="{00000000-0005-0000-0000-0000A8000000}"/>
    <cellStyle name="Normal 13" xfId="169" xr:uid="{00000000-0005-0000-0000-0000A9000000}"/>
    <cellStyle name="Normal 13 2" xfId="170" xr:uid="{00000000-0005-0000-0000-0000AA000000}"/>
    <cellStyle name="Normal 14" xfId="171" xr:uid="{00000000-0005-0000-0000-0000AB000000}"/>
    <cellStyle name="Normal 14 2" xfId="172" xr:uid="{00000000-0005-0000-0000-0000AC000000}"/>
    <cellStyle name="Normal 15" xfId="173" xr:uid="{00000000-0005-0000-0000-0000AD000000}"/>
    <cellStyle name="Normal 16" xfId="174" xr:uid="{00000000-0005-0000-0000-0000AE000000}"/>
    <cellStyle name="Normal 16 2" xfId="175" xr:uid="{00000000-0005-0000-0000-0000AF000000}"/>
    <cellStyle name="Normal 17" xfId="176" xr:uid="{00000000-0005-0000-0000-0000B0000000}"/>
    <cellStyle name="Normal 17 2" xfId="177" xr:uid="{00000000-0005-0000-0000-0000B1000000}"/>
    <cellStyle name="Normal 18" xfId="178" xr:uid="{00000000-0005-0000-0000-0000B2000000}"/>
    <cellStyle name="Normal 18 2" xfId="179" xr:uid="{00000000-0005-0000-0000-0000B3000000}"/>
    <cellStyle name="Normal 19" xfId="180" xr:uid="{00000000-0005-0000-0000-0000B4000000}"/>
    <cellStyle name="Normal 19 2" xfId="181" xr:uid="{00000000-0005-0000-0000-0000B5000000}"/>
    <cellStyle name="Normal 2" xfId="182" xr:uid="{00000000-0005-0000-0000-0000B6000000}"/>
    <cellStyle name="Normal 2 2" xfId="183" xr:uid="{00000000-0005-0000-0000-0000B7000000}"/>
    <cellStyle name="Normal 2 2 2" xfId="184" xr:uid="{00000000-0005-0000-0000-0000B8000000}"/>
    <cellStyle name="Normal 2 2 3" xfId="185" xr:uid="{00000000-0005-0000-0000-0000B9000000}"/>
    <cellStyle name="Normal 2 2 4" xfId="186" xr:uid="{00000000-0005-0000-0000-0000BA000000}"/>
    <cellStyle name="Normal 2 3" xfId="187" xr:uid="{00000000-0005-0000-0000-0000BB000000}"/>
    <cellStyle name="Normal 2 5" xfId="188" xr:uid="{00000000-0005-0000-0000-0000BC000000}"/>
    <cellStyle name="Normal 2 5 2" xfId="189" xr:uid="{00000000-0005-0000-0000-0000BD000000}"/>
    <cellStyle name="Normal 20" xfId="190" xr:uid="{00000000-0005-0000-0000-0000BE000000}"/>
    <cellStyle name="Normal 20 2" xfId="191" xr:uid="{00000000-0005-0000-0000-0000BF000000}"/>
    <cellStyle name="Normal 21" xfId="192" xr:uid="{00000000-0005-0000-0000-0000C0000000}"/>
    <cellStyle name="Normal 21 2" xfId="193" xr:uid="{00000000-0005-0000-0000-0000C1000000}"/>
    <cellStyle name="Normal 22" xfId="194" xr:uid="{00000000-0005-0000-0000-0000C2000000}"/>
    <cellStyle name="Normal 22 2" xfId="195" xr:uid="{00000000-0005-0000-0000-0000C3000000}"/>
    <cellStyle name="Normal 23" xfId="196" xr:uid="{00000000-0005-0000-0000-0000C4000000}"/>
    <cellStyle name="Normal 23 2" xfId="197" xr:uid="{00000000-0005-0000-0000-0000C5000000}"/>
    <cellStyle name="Normal 24" xfId="198" xr:uid="{00000000-0005-0000-0000-0000C6000000}"/>
    <cellStyle name="Normal 24 2" xfId="199" xr:uid="{00000000-0005-0000-0000-0000C7000000}"/>
    <cellStyle name="Normal 25" xfId="200" xr:uid="{00000000-0005-0000-0000-0000C8000000}"/>
    <cellStyle name="Normal 25 2" xfId="201" xr:uid="{00000000-0005-0000-0000-0000C9000000}"/>
    <cellStyle name="Normal 26" xfId="202" xr:uid="{00000000-0005-0000-0000-0000CA000000}"/>
    <cellStyle name="Normal 26 2" xfId="203" xr:uid="{00000000-0005-0000-0000-0000CB000000}"/>
    <cellStyle name="Normal 27" xfId="204" xr:uid="{00000000-0005-0000-0000-0000CC000000}"/>
    <cellStyle name="Normal 28" xfId="205" xr:uid="{00000000-0005-0000-0000-0000CD000000}"/>
    <cellStyle name="Normal 29" xfId="206" xr:uid="{00000000-0005-0000-0000-0000CE000000}"/>
    <cellStyle name="Normal 3" xfId="207" xr:uid="{00000000-0005-0000-0000-0000CF000000}"/>
    <cellStyle name="Normal 3 2" xfId="208" xr:uid="{00000000-0005-0000-0000-0000D0000000}"/>
    <cellStyle name="Normal 3 2 2" xfId="336" xr:uid="{8F0F80C3-8926-4586-A6DB-ED63A8820BC9}"/>
    <cellStyle name="Normal 3 3" xfId="209" xr:uid="{00000000-0005-0000-0000-0000D1000000}"/>
    <cellStyle name="Normal 3_Attach O, GG, Support -New Method 2-14-11" xfId="210" xr:uid="{00000000-0005-0000-0000-0000D2000000}"/>
    <cellStyle name="Normal 31" xfId="339" xr:uid="{240511B6-7CEF-450C-B21B-C0695099C8B7}"/>
    <cellStyle name="Normal 31 2" xfId="211" xr:uid="{00000000-0005-0000-0000-0000D3000000}"/>
    <cellStyle name="Normal 4" xfId="212" xr:uid="{00000000-0005-0000-0000-0000D4000000}"/>
    <cellStyle name="Normal 4 2" xfId="213" xr:uid="{00000000-0005-0000-0000-0000D5000000}"/>
    <cellStyle name="Normal 4 3" xfId="214" xr:uid="{00000000-0005-0000-0000-0000D6000000}"/>
    <cellStyle name="Normal 4 3 2" xfId="215" xr:uid="{00000000-0005-0000-0000-0000D7000000}"/>
    <cellStyle name="Normal 4 3 3" xfId="216" xr:uid="{00000000-0005-0000-0000-0000D8000000}"/>
    <cellStyle name="Normal 4 4" xfId="217" xr:uid="{00000000-0005-0000-0000-0000D9000000}"/>
    <cellStyle name="Normal 4 4 2" xfId="218" xr:uid="{00000000-0005-0000-0000-0000DA000000}"/>
    <cellStyle name="Normal 4 4 3" xfId="219" xr:uid="{00000000-0005-0000-0000-0000DB000000}"/>
    <cellStyle name="Normal 4 5" xfId="220" xr:uid="{00000000-0005-0000-0000-0000DC000000}"/>
    <cellStyle name="Normal 4 5 2" xfId="221" xr:uid="{00000000-0005-0000-0000-0000DD000000}"/>
    <cellStyle name="Normal 4 6" xfId="222" xr:uid="{00000000-0005-0000-0000-0000DE000000}"/>
    <cellStyle name="Normal 4 7" xfId="223" xr:uid="{00000000-0005-0000-0000-0000DF000000}"/>
    <cellStyle name="Normal 4_PBOP Exhibit 1" xfId="224" xr:uid="{00000000-0005-0000-0000-0000E0000000}"/>
    <cellStyle name="Normal 5" xfId="225" xr:uid="{00000000-0005-0000-0000-0000E1000000}"/>
    <cellStyle name="Normal 5 2" xfId="226" xr:uid="{00000000-0005-0000-0000-0000E2000000}"/>
    <cellStyle name="Normal 5 2 2" xfId="227" xr:uid="{00000000-0005-0000-0000-0000E3000000}"/>
    <cellStyle name="Normal 5 2 3" xfId="228" xr:uid="{00000000-0005-0000-0000-0000E4000000}"/>
    <cellStyle name="Normal 5 3" xfId="229" xr:uid="{00000000-0005-0000-0000-0000E5000000}"/>
    <cellStyle name="Normal 5 4" xfId="230" xr:uid="{00000000-0005-0000-0000-0000E6000000}"/>
    <cellStyle name="Normal 5 4 2" xfId="231" xr:uid="{00000000-0005-0000-0000-0000E7000000}"/>
    <cellStyle name="Normal 6 2" xfId="232" xr:uid="{00000000-0005-0000-0000-0000E8000000}"/>
    <cellStyle name="Normal 6 2 2" xfId="233" xr:uid="{00000000-0005-0000-0000-0000E9000000}"/>
    <cellStyle name="Normal 6 2 3" xfId="234" xr:uid="{00000000-0005-0000-0000-0000EA000000}"/>
    <cellStyle name="Normal 6 2 4" xfId="235" xr:uid="{00000000-0005-0000-0000-0000EB000000}"/>
    <cellStyle name="Normal 6 3" xfId="236" xr:uid="{00000000-0005-0000-0000-0000EC000000}"/>
    <cellStyle name="Normal 6 3 2" xfId="237" xr:uid="{00000000-0005-0000-0000-0000ED000000}"/>
    <cellStyle name="Normal 6 4" xfId="238" xr:uid="{00000000-0005-0000-0000-0000EE000000}"/>
    <cellStyle name="Normal 6 5" xfId="239" xr:uid="{00000000-0005-0000-0000-0000EF000000}"/>
    <cellStyle name="Normal 7" xfId="240" xr:uid="{00000000-0005-0000-0000-0000F0000000}"/>
    <cellStyle name="Normal 7 2" xfId="241" xr:uid="{00000000-0005-0000-0000-0000F1000000}"/>
    <cellStyle name="Normal 7 3" xfId="242" xr:uid="{00000000-0005-0000-0000-0000F2000000}"/>
    <cellStyle name="Normal 8" xfId="243" xr:uid="{00000000-0005-0000-0000-0000F3000000}"/>
    <cellStyle name="Normal 8 2" xfId="244" xr:uid="{00000000-0005-0000-0000-0000F4000000}"/>
    <cellStyle name="Normal 8 3" xfId="245" xr:uid="{00000000-0005-0000-0000-0000F5000000}"/>
    <cellStyle name="Normal 9" xfId="246" xr:uid="{00000000-0005-0000-0000-0000F6000000}"/>
    <cellStyle name="Normal 9 2" xfId="247" xr:uid="{00000000-0005-0000-0000-0000F7000000}"/>
    <cellStyle name="Normal 9 3" xfId="248" xr:uid="{00000000-0005-0000-0000-0000F8000000}"/>
    <cellStyle name="Normal_21 Exh B" xfId="249" xr:uid="{00000000-0005-0000-0000-0000F9000000}"/>
    <cellStyle name="Normal_ADITAnalysisID090805" xfId="250" xr:uid="{00000000-0005-0000-0000-0000FA000000}"/>
    <cellStyle name="Normal_ADITAnalysisID090805 2" xfId="251" xr:uid="{00000000-0005-0000-0000-0000FB000000}"/>
    <cellStyle name="Normal_ADITAnalysisID090805 2 2" xfId="252" xr:uid="{00000000-0005-0000-0000-0000FC000000}"/>
    <cellStyle name="Normal_ADITAnalysisID090805 3" xfId="253" xr:uid="{00000000-0005-0000-0000-0000FD000000}"/>
    <cellStyle name="Normal_ATC Projected 2008 Monthly Plant Balances for Attachment O 2 (2)" xfId="254" xr:uid="{00000000-0005-0000-0000-0000FE000000}"/>
    <cellStyle name="Normal_AU Period 2 Rev 4-27-00" xfId="255" xr:uid="{00000000-0005-0000-0000-0000FF000000}"/>
    <cellStyle name="Normal_Copy of PATH Formula Rate 2010 Projection Filed Sept 1, 2009 R1" xfId="256" xr:uid="{00000000-0005-0000-0000-000000010000}"/>
    <cellStyle name="Normal_FN1 Ratebase Draft SPP template (6-11-04) v2" xfId="257" xr:uid="{00000000-0005-0000-0000-000001010000}"/>
    <cellStyle name="Normal_I&amp;M-AK-1" xfId="258" xr:uid="{00000000-0005-0000-0000-000002010000}"/>
    <cellStyle name="Normal_IM LTD Hedge Entries 2" xfId="259" xr:uid="{00000000-0005-0000-0000-000003010000}"/>
    <cellStyle name="Normal_Revised 1-21-10  Deprec Summary" xfId="260" xr:uid="{00000000-0005-0000-0000-000004010000}"/>
    <cellStyle name="Normal_Schedule O Info for Mike" xfId="261" xr:uid="{00000000-0005-0000-0000-000005010000}"/>
    <cellStyle name="Normal_Schedule O Info for Mike 2" xfId="335" xr:uid="{B08F630C-1EE1-494B-B82D-7BC4C5450E3F}"/>
    <cellStyle name="Normal_spp calc - revsd rev crd" xfId="262" xr:uid="{00000000-0005-0000-0000-000006010000}"/>
    <cellStyle name="Normal_spp calc - revsd rev crd 2" xfId="263" xr:uid="{00000000-0005-0000-0000-000007010000}"/>
    <cellStyle name="Normal_Worksheet Q Draft dwb edits" xfId="264" xr:uid="{00000000-0005-0000-0000-000008010000}"/>
    <cellStyle name="Note" xfId="265" builtinId="10" customBuiltin="1"/>
    <cellStyle name="Note 2" xfId="266" xr:uid="{00000000-0005-0000-0000-00000A010000}"/>
    <cellStyle name="Output" xfId="267" builtinId="21" customBuiltin="1"/>
    <cellStyle name="Output 2" xfId="268" xr:uid="{00000000-0005-0000-0000-00000C010000}"/>
    <cellStyle name="Percent" xfId="269" builtinId="5"/>
    <cellStyle name="Percent 2" xfId="270" xr:uid="{00000000-0005-0000-0000-00000E010000}"/>
    <cellStyle name="Percent 2 2" xfId="271" xr:uid="{00000000-0005-0000-0000-00000F010000}"/>
    <cellStyle name="Percent 3" xfId="272" xr:uid="{00000000-0005-0000-0000-000010010000}"/>
    <cellStyle name="Percent 3 2" xfId="273" xr:uid="{00000000-0005-0000-0000-000011010000}"/>
    <cellStyle name="Percent 3 3" xfId="274" xr:uid="{00000000-0005-0000-0000-000012010000}"/>
    <cellStyle name="Percent 3 3 2" xfId="275" xr:uid="{00000000-0005-0000-0000-000013010000}"/>
    <cellStyle name="Percent 3 3 3" xfId="276" xr:uid="{00000000-0005-0000-0000-000014010000}"/>
    <cellStyle name="Percent 3 4" xfId="277" xr:uid="{00000000-0005-0000-0000-000015010000}"/>
    <cellStyle name="Percent 3 4 2" xfId="278" xr:uid="{00000000-0005-0000-0000-000016010000}"/>
    <cellStyle name="Percent 3 4 3" xfId="279" xr:uid="{00000000-0005-0000-0000-000017010000}"/>
    <cellStyle name="Percent 3 5" xfId="280" xr:uid="{00000000-0005-0000-0000-000018010000}"/>
    <cellStyle name="Percent 3 5 2" xfId="281" xr:uid="{00000000-0005-0000-0000-000019010000}"/>
    <cellStyle name="Percent 3 6" xfId="282" xr:uid="{00000000-0005-0000-0000-00001A010000}"/>
    <cellStyle name="Percent 4" xfId="283" xr:uid="{00000000-0005-0000-0000-00001B010000}"/>
    <cellStyle name="Percent 4 2" xfId="284" xr:uid="{00000000-0005-0000-0000-00001C010000}"/>
    <cellStyle name="Percent 4 3" xfId="285" xr:uid="{00000000-0005-0000-0000-00001D010000}"/>
    <cellStyle name="Percent 4 3 2" xfId="286" xr:uid="{00000000-0005-0000-0000-00001E010000}"/>
    <cellStyle name="Percent 4 4" xfId="287" xr:uid="{00000000-0005-0000-0000-00001F010000}"/>
    <cellStyle name="Percent 5 2" xfId="288" xr:uid="{00000000-0005-0000-0000-000020010000}"/>
    <cellStyle name="Percent 6" xfId="289" xr:uid="{00000000-0005-0000-0000-000021010000}"/>
    <cellStyle name="PSChar" xfId="290" xr:uid="{00000000-0005-0000-0000-000022010000}"/>
    <cellStyle name="PSDate" xfId="291" xr:uid="{00000000-0005-0000-0000-000023010000}"/>
    <cellStyle name="PSDec" xfId="292" xr:uid="{00000000-0005-0000-0000-000024010000}"/>
    <cellStyle name="PSdesc" xfId="293" xr:uid="{00000000-0005-0000-0000-000025010000}"/>
    <cellStyle name="PSHeading" xfId="294" xr:uid="{00000000-0005-0000-0000-000026010000}"/>
    <cellStyle name="PSInt" xfId="295" xr:uid="{00000000-0005-0000-0000-000027010000}"/>
    <cellStyle name="PSSpacer" xfId="296" xr:uid="{00000000-0005-0000-0000-000028010000}"/>
    <cellStyle name="PStest" xfId="297" xr:uid="{00000000-0005-0000-0000-000029010000}"/>
    <cellStyle name="R00A" xfId="298" xr:uid="{00000000-0005-0000-0000-00002A010000}"/>
    <cellStyle name="R00B" xfId="299" xr:uid="{00000000-0005-0000-0000-00002B010000}"/>
    <cellStyle name="R00L" xfId="300" xr:uid="{00000000-0005-0000-0000-00002C010000}"/>
    <cellStyle name="R01A" xfId="301" xr:uid="{00000000-0005-0000-0000-00002D010000}"/>
    <cellStyle name="R01B" xfId="302" xr:uid="{00000000-0005-0000-0000-00002E010000}"/>
    <cellStyle name="R01H" xfId="303" xr:uid="{00000000-0005-0000-0000-00002F010000}"/>
    <cellStyle name="R01L" xfId="304" xr:uid="{00000000-0005-0000-0000-000030010000}"/>
    <cellStyle name="R02A" xfId="305" xr:uid="{00000000-0005-0000-0000-000031010000}"/>
    <cellStyle name="R02B" xfId="306" xr:uid="{00000000-0005-0000-0000-000032010000}"/>
    <cellStyle name="R02H" xfId="307" xr:uid="{00000000-0005-0000-0000-000033010000}"/>
    <cellStyle name="R02L" xfId="308" xr:uid="{00000000-0005-0000-0000-000034010000}"/>
    <cellStyle name="R03A" xfId="309" xr:uid="{00000000-0005-0000-0000-000035010000}"/>
    <cellStyle name="R03B" xfId="310" xr:uid="{00000000-0005-0000-0000-000036010000}"/>
    <cellStyle name="R03H" xfId="311" xr:uid="{00000000-0005-0000-0000-000037010000}"/>
    <cellStyle name="R03L" xfId="312" xr:uid="{00000000-0005-0000-0000-000038010000}"/>
    <cellStyle name="R04A" xfId="313" xr:uid="{00000000-0005-0000-0000-000039010000}"/>
    <cellStyle name="R04B" xfId="314" xr:uid="{00000000-0005-0000-0000-00003A010000}"/>
    <cellStyle name="R04H" xfId="315" xr:uid="{00000000-0005-0000-0000-00003B010000}"/>
    <cellStyle name="R04L" xfId="316" xr:uid="{00000000-0005-0000-0000-00003C010000}"/>
    <cellStyle name="R05A" xfId="317" xr:uid="{00000000-0005-0000-0000-00003D010000}"/>
    <cellStyle name="R05B" xfId="318" xr:uid="{00000000-0005-0000-0000-00003E010000}"/>
    <cellStyle name="R05H" xfId="319" xr:uid="{00000000-0005-0000-0000-00003F010000}"/>
    <cellStyle name="R05L" xfId="320" xr:uid="{00000000-0005-0000-0000-000040010000}"/>
    <cellStyle name="R06A" xfId="321" xr:uid="{00000000-0005-0000-0000-000041010000}"/>
    <cellStyle name="R06B" xfId="322" xr:uid="{00000000-0005-0000-0000-000042010000}"/>
    <cellStyle name="R06H" xfId="323" xr:uid="{00000000-0005-0000-0000-000043010000}"/>
    <cellStyle name="R06L" xfId="324" xr:uid="{00000000-0005-0000-0000-000044010000}"/>
    <cellStyle name="R07A" xfId="325" xr:uid="{00000000-0005-0000-0000-000045010000}"/>
    <cellStyle name="R07B" xfId="326" xr:uid="{00000000-0005-0000-0000-000046010000}"/>
    <cellStyle name="R07H" xfId="327" xr:uid="{00000000-0005-0000-0000-000047010000}"/>
    <cellStyle name="R07L" xfId="328" xr:uid="{00000000-0005-0000-0000-000048010000}"/>
    <cellStyle name="Title" xfId="329" builtinId="15" customBuiltin="1"/>
    <cellStyle name="Title 2" xfId="330" xr:uid="{00000000-0005-0000-0000-00004A010000}"/>
    <cellStyle name="Total" xfId="331" builtinId="25" customBuiltin="1"/>
    <cellStyle name="Total 2" xfId="332" xr:uid="{00000000-0005-0000-0000-00004C010000}"/>
    <cellStyle name="Warning Text" xfId="333" builtinId="11" customBuiltin="1"/>
    <cellStyle name="Warning Text 2" xfId="334" xr:uid="{00000000-0005-0000-0000-00004E010000}"/>
  </cellStyles>
  <dxfs count="5">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C0C0C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U388"/>
  <sheetViews>
    <sheetView tabSelected="1" view="pageBreakPreview" zoomScale="70" zoomScaleNormal="70" zoomScaleSheetLayoutView="70" zoomScalePageLayoutView="50" workbookViewId="0">
      <selection activeCell="B7" sqref="B7"/>
    </sheetView>
  </sheetViews>
  <sheetFormatPr defaultColWidth="11.42578125" defaultRowHeight="15"/>
  <cols>
    <col min="1" max="1" width="4.7109375" style="126" customWidth="1"/>
    <col min="2" max="2" width="7.85546875" style="125" customWidth="1"/>
    <col min="3" max="3" width="1.85546875" style="126" customWidth="1"/>
    <col min="4" max="4" width="56" style="126" customWidth="1"/>
    <col min="5" max="5" width="51.5703125" style="126" customWidth="1"/>
    <col min="6" max="6" width="17.5703125" style="126" customWidth="1"/>
    <col min="7" max="7" width="20.7109375" style="126" customWidth="1"/>
    <col min="8" max="8" width="20" style="126" customWidth="1"/>
    <col min="9" max="9" width="11.28515625" style="126" customWidth="1"/>
    <col min="10" max="10" width="17" style="126" customWidth="1"/>
    <col min="11" max="11" width="11.140625" style="126" customWidth="1"/>
    <col min="12" max="12" width="21.140625" style="126" customWidth="1"/>
    <col min="13" max="13" width="17" style="126" customWidth="1"/>
    <col min="14" max="14" width="17.5703125" style="126" customWidth="1"/>
    <col min="15" max="15" width="11.140625" style="126" customWidth="1"/>
    <col min="16" max="16" width="21.85546875" style="126" customWidth="1"/>
    <col min="17" max="17" width="11.42578125" style="126" customWidth="1"/>
    <col min="18" max="18" width="20.5703125" style="126" bestFit="1" customWidth="1"/>
    <col min="19" max="16384" width="11.42578125" style="126"/>
  </cols>
  <sheetData>
    <row r="1" spans="1:16" ht="15.75">
      <c r="A1" s="744" t="s">
        <v>416</v>
      </c>
    </row>
    <row r="2" spans="1:16" ht="15.75">
      <c r="A2" s="744" t="s">
        <v>416</v>
      </c>
    </row>
    <row r="3" spans="1:16" ht="15.75">
      <c r="D3"/>
      <c r="E3" s="127"/>
      <c r="F3" s="127"/>
      <c r="G3" s="128"/>
      <c r="I3" s="129"/>
      <c r="J3" s="129"/>
      <c r="K3" s="129"/>
      <c r="N3" s="126" t="s">
        <v>416</v>
      </c>
      <c r="O3" s="130" t="s">
        <v>416</v>
      </c>
      <c r="P3" s="126" t="s">
        <v>416</v>
      </c>
    </row>
    <row r="4" spans="1:16">
      <c r="I4" s="126" t="s">
        <v>556</v>
      </c>
      <c r="L4" s="301">
        <v>2025</v>
      </c>
    </row>
    <row r="5" spans="1:16">
      <c r="D5" s="131"/>
      <c r="E5" s="131"/>
      <c r="F5" s="17" t="s">
        <v>329</v>
      </c>
      <c r="G5" s="132"/>
      <c r="H5" s="132"/>
      <c r="J5" s="131"/>
      <c r="K5" s="131"/>
      <c r="L5" s="131"/>
      <c r="M5" s="133"/>
      <c r="O5" s="134"/>
    </row>
    <row r="6" spans="1:16">
      <c r="D6" s="131"/>
      <c r="E6" s="135"/>
      <c r="F6" s="17" t="s">
        <v>203</v>
      </c>
      <c r="G6" s="132"/>
      <c r="H6" s="132"/>
      <c r="J6" s="135"/>
      <c r="K6" s="131"/>
      <c r="L6" s="131"/>
      <c r="M6" s="133"/>
    </row>
    <row r="7" spans="1:16">
      <c r="D7" s="131"/>
      <c r="E7" s="131"/>
      <c r="F7" s="2" t="str">
        <f>"Utilizing  Actual/Projected FERC Form 1 Data"</f>
        <v>Utilizing  Actual/Projected FERC Form 1 Data</v>
      </c>
      <c r="G7" s="132"/>
      <c r="H7" s="132"/>
      <c r="J7" s="131"/>
      <c r="K7" s="131"/>
      <c r="L7" s="131"/>
      <c r="M7" s="133"/>
    </row>
    <row r="8" spans="1:16">
      <c r="B8" s="136"/>
      <c r="C8" s="137"/>
      <c r="D8" s="131"/>
      <c r="H8" s="138"/>
      <c r="I8" s="138"/>
      <c r="J8" s="138"/>
      <c r="K8" s="138"/>
      <c r="L8" s="131"/>
      <c r="M8" s="131"/>
    </row>
    <row r="9" spans="1:16" ht="15.75">
      <c r="B9" s="136"/>
      <c r="C9" s="137"/>
      <c r="D9"/>
      <c r="E9" s="131"/>
      <c r="F9" s="139" t="s">
        <v>810</v>
      </c>
      <c r="G9" s="140"/>
      <c r="H9" s="131"/>
      <c r="I9" s="131"/>
      <c r="J9" s="131"/>
      <c r="K9" s="131"/>
      <c r="L9"/>
      <c r="M9" s="131"/>
    </row>
    <row r="10" spans="1:16">
      <c r="B10" s="136"/>
      <c r="C10" s="137"/>
      <c r="D10" s="131"/>
      <c r="E10" s="131"/>
      <c r="F10" s="141"/>
      <c r="G10" s="140"/>
      <c r="H10" s="131"/>
      <c r="I10" s="131"/>
      <c r="J10" s="131"/>
      <c r="K10" s="131"/>
      <c r="L10"/>
      <c r="M10" s="131"/>
    </row>
    <row r="11" spans="1:16">
      <c r="B11" s="136" t="s">
        <v>469</v>
      </c>
      <c r="C11" s="137"/>
      <c r="D11" s="131"/>
      <c r="E11" s="131"/>
      <c r="F11" s="131"/>
      <c r="G11" s="140"/>
      <c r="H11" s="131"/>
      <c r="I11" s="131"/>
      <c r="J11" s="131"/>
      <c r="K11" s="131"/>
      <c r="L11" s="137" t="s">
        <v>417</v>
      </c>
      <c r="M11" s="131"/>
    </row>
    <row r="12" spans="1:16" ht="15.75" thickBot="1">
      <c r="B12" s="142" t="s">
        <v>419</v>
      </c>
      <c r="C12" s="137"/>
      <c r="D12" s="131"/>
      <c r="E12" s="137"/>
      <c r="F12" s="131"/>
      <c r="G12" s="131"/>
      <c r="H12" s="131"/>
      <c r="I12" s="131"/>
      <c r="J12" s="131"/>
      <c r="K12" s="131"/>
      <c r="L12" s="143" t="s">
        <v>470</v>
      </c>
      <c r="M12" s="131"/>
    </row>
    <row r="13" spans="1:16">
      <c r="B13" s="136">
        <v>1</v>
      </c>
      <c r="C13" s="137"/>
      <c r="D13" s="132" t="s">
        <v>413</v>
      </c>
      <c r="E13" s="131" t="str">
        <f>"(ln "&amp;B199&amp;")"</f>
        <v>(ln 113)</v>
      </c>
      <c r="F13" s="131"/>
      <c r="G13" s="135"/>
      <c r="H13" s="144"/>
      <c r="I13" s="131"/>
      <c r="J13" s="131"/>
      <c r="K13" s="131"/>
      <c r="L13" s="145">
        <f>+L199</f>
        <v>21215182.183590215</v>
      </c>
      <c r="M13" s="131"/>
    </row>
    <row r="14" spans="1:16" ht="15.75" thickBot="1">
      <c r="B14" s="136"/>
      <c r="C14" s="137"/>
      <c r="E14" s="146"/>
      <c r="F14" s="135"/>
      <c r="G14" s="143" t="s">
        <v>420</v>
      </c>
      <c r="H14" s="135"/>
      <c r="I14" s="147" t="s">
        <v>421</v>
      </c>
      <c r="J14" s="147"/>
      <c r="K14" s="131"/>
      <c r="L14" s="135"/>
      <c r="M14" s="131"/>
    </row>
    <row r="15" spans="1:16">
      <c r="B15" s="136">
        <f>+B13+1</f>
        <v>2</v>
      </c>
      <c r="C15" s="137"/>
      <c r="D15" s="132" t="s">
        <v>468</v>
      </c>
      <c r="E15" s="146" t="str">
        <f>"(Worksheet E,  ln  "&amp;'WS E Rev Credits'!A31&amp;") (Note A) "</f>
        <v xml:space="preserve">(Worksheet E,  ln  8) (Note A) </v>
      </c>
      <c r="F15" s="135"/>
      <c r="G15" s="148">
        <f>+'WS E Rev Credits'!K31</f>
        <v>418323.20400000003</v>
      </c>
      <c r="H15" s="135"/>
      <c r="I15" s="149" t="s">
        <v>430</v>
      </c>
      <c r="J15" s="150">
        <v>1</v>
      </c>
      <c r="K15" s="135"/>
      <c r="L15" s="151">
        <f>+J15*G15</f>
        <v>418323.20400000003</v>
      </c>
      <c r="M15" s="131"/>
    </row>
    <row r="16" spans="1:16">
      <c r="B16" s="136"/>
      <c r="C16" s="137"/>
      <c r="D16" s="132"/>
      <c r="E16" s="146"/>
      <c r="F16" s="135"/>
      <c r="G16" s="148"/>
      <c r="H16" s="135"/>
      <c r="I16" s="149"/>
      <c r="J16" s="150"/>
      <c r="K16" s="135"/>
      <c r="L16" s="151"/>
      <c r="M16" s="131"/>
    </row>
    <row r="17" spans="2:13">
      <c r="B17" s="136">
        <f>+B15+1</f>
        <v>3</v>
      </c>
      <c r="C17" s="137"/>
      <c r="D17" s="132" t="s">
        <v>557</v>
      </c>
      <c r="E17" s="126" t="str">
        <f>"Worksheet E, ln "&amp;'WS E Rev Credits'!A33&amp;") (Note X) "</f>
        <v xml:space="preserve">Worksheet E, ln 9) (Note X) </v>
      </c>
      <c r="F17" s="135"/>
      <c r="L17" s="130">
        <f>'WS E Rev Credits'!K33</f>
        <v>0</v>
      </c>
      <c r="M17" s="131"/>
    </row>
    <row r="18" spans="2:13" ht="30.75" thickBot="1">
      <c r="B18" s="136">
        <f>+B17+1</f>
        <v>4</v>
      </c>
      <c r="C18" s="137"/>
      <c r="D18" s="152" t="s">
        <v>252</v>
      </c>
      <c r="E18" s="146" t="str">
        <f>"(ln "&amp;B13&amp;"  less ln " &amp;B15&amp;" plus ln 3)"</f>
        <v>(ln 1  less ln 2 plus ln 3)</v>
      </c>
      <c r="F18" s="131"/>
      <c r="H18" s="135"/>
      <c r="I18" s="149"/>
      <c r="J18" s="135"/>
      <c r="K18" s="135"/>
      <c r="L18" s="153">
        <f>+L13-L15+L17</f>
        <v>20796858.979590215</v>
      </c>
      <c r="M18" s="131"/>
    </row>
    <row r="19" spans="2:13" ht="15.75" thickTop="1">
      <c r="B19" s="136"/>
      <c r="C19" s="137"/>
      <c r="D19" s="132"/>
      <c r="E19" s="146"/>
      <c r="F19" s="131"/>
      <c r="H19" s="135"/>
      <c r="I19" s="149"/>
      <c r="J19" s="135"/>
      <c r="K19" s="135"/>
      <c r="L19" s="151"/>
      <c r="M19" s="131"/>
    </row>
    <row r="20" spans="2:13">
      <c r="B20" s="136"/>
      <c r="C20" s="137"/>
      <c r="D20" s="132"/>
      <c r="E20" s="146"/>
      <c r="F20" s="131"/>
      <c r="H20" s="135"/>
      <c r="I20" s="149"/>
      <c r="J20" s="135"/>
      <c r="K20" s="135"/>
      <c r="L20" s="151"/>
      <c r="M20" s="131"/>
    </row>
    <row r="21" spans="2:13" ht="15" customHeight="1">
      <c r="B21" s="1122" t="str">
        <f>"MEMO:  The Carrying Charge Calculations on lines "&amp;B27&amp;" to "&amp;B34&amp;" below are used in calculating project revenue requirements billed through PJM Schedule 12, Transmission Enhancement Charges.  The total non-incentive revenue requirements for these projects shown on line "&amp;B24&amp;" is included in the total on line "&amp;B18&amp;"."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1" s="1122"/>
      <c r="D21" s="1122"/>
      <c r="E21" s="1122"/>
      <c r="F21" s="1122"/>
      <c r="G21" s="1122"/>
      <c r="H21" s="1122"/>
      <c r="I21" s="1122"/>
    </row>
    <row r="22" spans="2:13" ht="35.25" customHeight="1">
      <c r="B22" s="1122"/>
      <c r="C22" s="1122"/>
      <c r="D22" s="1122"/>
      <c r="E22" s="1122"/>
      <c r="F22" s="1122"/>
      <c r="G22" s="1122"/>
      <c r="H22" s="1122"/>
      <c r="I22" s="1122"/>
    </row>
    <row r="23" spans="2:13" ht="15" customHeight="1">
      <c r="B23" s="154"/>
      <c r="C23" s="154"/>
      <c r="D23" s="154"/>
      <c r="E23" s="154"/>
      <c r="F23" s="154"/>
      <c r="G23" s="154"/>
      <c r="H23" s="154"/>
      <c r="I23" s="154"/>
    </row>
    <row r="24" spans="2:13">
      <c r="B24" s="136">
        <f>+B18+1</f>
        <v>5</v>
      </c>
      <c r="C24" s="137"/>
      <c r="D24" s="132" t="s">
        <v>558</v>
      </c>
      <c r="E24" s="146"/>
      <c r="F24" s="135"/>
      <c r="G24" s="909">
        <f>'WS K TRUE-UP RTEP RR'!N22</f>
        <v>4954013.254648407</v>
      </c>
      <c r="H24" s="135"/>
      <c r="I24" s="149" t="s">
        <v>430</v>
      </c>
      <c r="J24" s="150">
        <v>1</v>
      </c>
      <c r="K24" s="131"/>
      <c r="L24" s="151">
        <f>+J24*G24</f>
        <v>4954013.254648407</v>
      </c>
      <c r="M24" s="131"/>
    </row>
    <row r="25" spans="2:13">
      <c r="B25" s="136"/>
      <c r="C25" s="137"/>
      <c r="D25" s="132"/>
      <c r="E25" s="146"/>
      <c r="F25" s="135"/>
      <c r="G25" s="148"/>
      <c r="H25" s="135"/>
      <c r="I25" s="135"/>
      <c r="J25" s="150"/>
      <c r="K25" s="131"/>
      <c r="L25" s="151"/>
      <c r="M25" s="131"/>
    </row>
    <row r="26" spans="2:13">
      <c r="B26" s="136">
        <f>+B24+1</f>
        <v>6</v>
      </c>
      <c r="C26" s="137"/>
      <c r="D26" s="132" t="s">
        <v>176</v>
      </c>
      <c r="E26" s="146"/>
      <c r="F26" s="131"/>
      <c r="G26" s="155"/>
      <c r="H26" s="131"/>
      <c r="J26" s="131"/>
      <c r="K26" s="131"/>
      <c r="M26" s="131"/>
    </row>
    <row r="27" spans="2:13">
      <c r="B27" s="136">
        <f>B26+1</f>
        <v>7</v>
      </c>
      <c r="C27" s="137"/>
      <c r="D27" s="131" t="s">
        <v>48</v>
      </c>
      <c r="E27" s="131" t="str">
        <f>"( (ln "&amp;B13&amp;"- ln "&amp;B157&amp;")/((ln "&amp;$B$83&amp;" ) x 100) )"</f>
        <v>( (ln 1- ln 80)/((ln 33 ) x 100) )</v>
      </c>
      <c r="F27" s="137"/>
      <c r="G27" s="137"/>
      <c r="H27" s="137"/>
      <c r="I27" s="156"/>
      <c r="J27" s="156"/>
      <c r="K27" s="156"/>
      <c r="L27" s="157">
        <f>IF((L83)=0,0,(L13-L157)/(L83))</f>
        <v>0.16416627406885817</v>
      </c>
      <c r="M27" s="131"/>
    </row>
    <row r="28" spans="2:13">
      <c r="B28" s="136">
        <f>B27+1</f>
        <v>8</v>
      </c>
      <c r="C28" s="137"/>
      <c r="D28" s="131" t="s">
        <v>49</v>
      </c>
      <c r="E28" s="131" t="str">
        <f>"(ln "&amp;B27&amp;" / 12)"</f>
        <v>(ln 7 / 12)</v>
      </c>
      <c r="F28" s="137"/>
      <c r="G28" s="137"/>
      <c r="H28" s="137"/>
      <c r="I28" s="156"/>
      <c r="J28" s="156"/>
      <c r="K28" s="156"/>
      <c r="L28" s="157">
        <f>L27/12</f>
        <v>1.3680522839071514E-2</v>
      </c>
      <c r="M28" s="131"/>
    </row>
    <row r="29" spans="2:13">
      <c r="B29" s="136"/>
      <c r="C29" s="137"/>
      <c r="D29" s="131"/>
      <c r="E29" s="131"/>
      <c r="F29" s="137"/>
      <c r="G29" s="137"/>
      <c r="H29" s="137"/>
      <c r="I29" s="156"/>
      <c r="J29" s="156"/>
      <c r="K29" s="156"/>
      <c r="L29" s="157"/>
      <c r="M29" s="131"/>
    </row>
    <row r="30" spans="2:13">
      <c r="B30" s="136">
        <f>B28+1</f>
        <v>9</v>
      </c>
      <c r="C30" s="137"/>
      <c r="D30" s="132" t="str">
        <f>"NET PLANT CARRYING CHARGE ON LINE "&amp;B27&amp;" , w/o depreciation or ROE incentives (Note B)"</f>
        <v>NET PLANT CARRYING CHARGE ON LINE 7 , w/o depreciation or ROE incentives (Note B)</v>
      </c>
      <c r="E30" s="131"/>
      <c r="F30" s="137"/>
      <c r="G30" s="137"/>
      <c r="H30" s="137"/>
      <c r="I30" s="156"/>
      <c r="J30" s="156"/>
      <c r="K30" s="156"/>
      <c r="L30" s="157"/>
      <c r="M30" s="131"/>
    </row>
    <row r="31" spans="2:13">
      <c r="B31" s="136">
        <f>B30+1</f>
        <v>10</v>
      </c>
      <c r="C31" s="137"/>
      <c r="D31" s="131" t="s">
        <v>48</v>
      </c>
      <c r="E31" s="131" t="str">
        <f>"( (ln "&amp;B13&amp;"- ln "&amp;B157&amp;" - ln "&amp;B161&amp;")/((ln "&amp;$B$83&amp;") x 100) )"</f>
        <v>( (ln 1- ln 80 - ln 83)/((ln 33) x 100) )</v>
      </c>
      <c r="F31" s="137"/>
      <c r="G31" s="137"/>
      <c r="H31" s="137"/>
      <c r="I31" s="156"/>
      <c r="J31" s="156"/>
      <c r="K31" s="156"/>
      <c r="L31" s="157">
        <f>IF(L83=0,0,(L13-L157-L161)/L83)</f>
        <v>0.13537191163280657</v>
      </c>
      <c r="M31" s="131"/>
    </row>
    <row r="32" spans="2:13">
      <c r="B32" s="136"/>
      <c r="C32" s="137"/>
      <c r="D32" s="131"/>
      <c r="E32" s="131"/>
      <c r="F32" s="137"/>
      <c r="G32" s="137"/>
      <c r="H32" s="137"/>
      <c r="I32" s="156"/>
      <c r="J32" s="156"/>
      <c r="K32" s="156"/>
      <c r="L32" s="157"/>
      <c r="M32" s="131"/>
    </row>
    <row r="33" spans="2:13">
      <c r="B33" s="136">
        <f>B31+1</f>
        <v>11</v>
      </c>
      <c r="C33" s="137"/>
      <c r="D33" s="132" t="str">
        <f>"NET PLANT CARRYING CHARGE ON LINE "&amp;B31&amp;", w/o Return, income taxes or ROE incentives (Note B)"</f>
        <v>NET PLANT CARRYING CHARGE ON LINE 10, w/o Return, income taxes or ROE incentives (Note B)</v>
      </c>
      <c r="E33" s="131"/>
      <c r="F33" s="41"/>
      <c r="G33" s="41"/>
      <c r="H33" s="41"/>
      <c r="I33" s="41"/>
      <c r="J33" s="41"/>
      <c r="K33" s="41"/>
      <c r="L33" s="41"/>
      <c r="M33"/>
    </row>
    <row r="34" spans="2:13">
      <c r="B34" s="136">
        <f>B33+1</f>
        <v>12</v>
      </c>
      <c r="C34" s="137"/>
      <c r="D34" s="131" t="s">
        <v>48</v>
      </c>
      <c r="E34" s="131" t="str">
        <f>"( (ln "&amp;B13&amp;" - ln "&amp;B157&amp;" - ln "&amp;B161&amp;" - ln "&amp;B189&amp;" - ln "&amp;B191&amp;") /((ln "&amp;$B$83&amp;") x 100) )"</f>
        <v>( (ln 1 - ln 80 - ln 83 - ln 108 - ln 109) /((ln 33) x 100) )</v>
      </c>
      <c r="F34" s="41"/>
      <c r="G34" s="41"/>
      <c r="H34" s="41"/>
      <c r="I34" s="41"/>
      <c r="J34" s="41"/>
      <c r="K34" s="41"/>
      <c r="L34" s="158">
        <f>IF(L83=0,0,(L13-L157-L161-L189-L191)/L83)</f>
        <v>3.8998051721092442E-2</v>
      </c>
      <c r="M34"/>
    </row>
    <row r="35" spans="2:13">
      <c r="B35" s="136"/>
      <c r="C35" s="137"/>
      <c r="D35" s="131"/>
      <c r="E35" s="131"/>
      <c r="F35" s="137"/>
      <c r="G35" s="137"/>
      <c r="H35" s="137"/>
      <c r="I35" s="156"/>
      <c r="J35" s="156"/>
      <c r="K35" s="156"/>
      <c r="L35" s="157"/>
      <c r="M35" s="159"/>
    </row>
    <row r="36" spans="2:13">
      <c r="B36" s="136">
        <f>B34+1</f>
        <v>13</v>
      </c>
      <c r="C36" s="137"/>
      <c r="D36" s="132" t="s">
        <v>559</v>
      </c>
      <c r="E36" s="131"/>
      <c r="F36" s="137"/>
      <c r="G36" s="137"/>
      <c r="H36" s="137"/>
      <c r="I36" s="156"/>
      <c r="J36" s="156"/>
      <c r="K36" s="156"/>
      <c r="L36" s="299">
        <f>+'WS J PROJECTED RTEP RR'!O26</f>
        <v>0</v>
      </c>
      <c r="M36" s="131"/>
    </row>
    <row r="37" spans="2:13">
      <c r="B37" s="136"/>
      <c r="C37" s="137"/>
      <c r="E37" s="131"/>
      <c r="F37" s="137"/>
      <c r="G37" s="137"/>
      <c r="H37" s="137"/>
      <c r="I37" s="156"/>
      <c r="J37" s="156"/>
      <c r="K37" s="156"/>
      <c r="L37" s="157"/>
      <c r="M37" s="131"/>
    </row>
    <row r="38" spans="2:13">
      <c r="B38" s="126"/>
      <c r="C38" s="137"/>
      <c r="E38" s="131"/>
      <c r="F38" s="137"/>
      <c r="G38" s="137"/>
      <c r="H38" s="137"/>
      <c r="I38" s="156"/>
      <c r="J38" s="156"/>
      <c r="K38" s="156"/>
      <c r="L38" s="157"/>
      <c r="M38" s="131"/>
    </row>
    <row r="39" spans="2:13" ht="15.75">
      <c r="B39" s="136">
        <f>+B36+1</f>
        <v>14</v>
      </c>
      <c r="C39" s="137"/>
      <c r="D39" s="1128" t="s">
        <v>215</v>
      </c>
      <c r="E39" s="1128"/>
      <c r="F39" s="1128"/>
      <c r="G39" s="1128"/>
      <c r="H39" s="1128"/>
      <c r="I39" s="1128"/>
      <c r="J39" s="1128"/>
      <c r="K39" s="1128"/>
      <c r="L39" s="1128"/>
      <c r="M39" s="131"/>
    </row>
    <row r="40" spans="2:13">
      <c r="B40" s="136"/>
      <c r="C40" s="137"/>
      <c r="E40" s="131"/>
      <c r="F40" s="137"/>
      <c r="G40" s="137"/>
      <c r="H40" s="137"/>
      <c r="I40" s="156"/>
      <c r="J40" s="156"/>
      <c r="K40" s="156"/>
      <c r="L40" s="157"/>
      <c r="M40" s="131"/>
    </row>
    <row r="41" spans="2:13">
      <c r="B41" s="136">
        <f>+B39+1</f>
        <v>15</v>
      </c>
      <c r="C41" s="137"/>
      <c r="D41" s="132" t="s">
        <v>217</v>
      </c>
      <c r="E41" s="131" t="str">
        <f>"Line "&amp;B137&amp;" Below"</f>
        <v>Line 63 Below</v>
      </c>
      <c r="F41" s="137"/>
      <c r="H41" s="137"/>
      <c r="I41" s="156"/>
      <c r="J41" s="156"/>
      <c r="K41" s="156"/>
      <c r="L41" s="160">
        <f>+G137</f>
        <v>138419.65</v>
      </c>
      <c r="M41" s="131"/>
    </row>
    <row r="42" spans="2:13">
      <c r="B42" s="136">
        <f>+B41+1</f>
        <v>16</v>
      </c>
      <c r="C42" s="137"/>
      <c r="D42" s="132" t="s">
        <v>282</v>
      </c>
      <c r="E42" s="131"/>
      <c r="F42" s="137"/>
      <c r="H42" s="137"/>
      <c r="I42" s="156"/>
      <c r="J42" s="156"/>
      <c r="K42" s="156"/>
      <c r="L42" s="116">
        <f>'WS F Misc Exp'!D28</f>
        <v>0</v>
      </c>
      <c r="M42" s="131"/>
    </row>
    <row r="43" spans="2:13">
      <c r="B43" s="136">
        <f>+B42+1</f>
        <v>17</v>
      </c>
      <c r="C43" s="137"/>
      <c r="D43" s="132" t="s">
        <v>283</v>
      </c>
      <c r="E43" s="131"/>
      <c r="F43" s="137"/>
      <c r="H43" s="137"/>
      <c r="I43" s="156"/>
      <c r="J43" s="156"/>
      <c r="K43" s="156"/>
      <c r="L43" s="116">
        <f>'WS F Misc Exp'!D32</f>
        <v>0</v>
      </c>
      <c r="M43" s="131"/>
    </row>
    <row r="44" spans="2:13">
      <c r="B44" s="136"/>
      <c r="C44" s="137"/>
      <c r="E44" s="131"/>
      <c r="F44" s="137"/>
      <c r="H44" s="137"/>
      <c r="I44" s="156"/>
      <c r="J44" s="156"/>
      <c r="K44" s="156"/>
      <c r="L44" s="137"/>
      <c r="M44" s="131"/>
    </row>
    <row r="45" spans="2:13" ht="15.75" thickBot="1">
      <c r="B45" s="136">
        <f>+B43+1</f>
        <v>18</v>
      </c>
      <c r="C45" s="137"/>
      <c r="D45" s="132" t="s">
        <v>216</v>
      </c>
      <c r="E45" s="144" t="str">
        <f>"(Line "&amp;B41&amp;" - Line "&amp;B42&amp;" - Line "&amp;B43&amp;")"</f>
        <v>(Line 15 - Line 16 - Line 17)</v>
      </c>
      <c r="F45" s="137"/>
      <c r="H45" s="137"/>
      <c r="I45" s="156"/>
      <c r="J45" s="156"/>
      <c r="K45" s="156"/>
      <c r="L45" s="161">
        <f>+L41-L42-L43</f>
        <v>138419.65</v>
      </c>
      <c r="M45" s="131"/>
    </row>
    <row r="46" spans="2:13" ht="15.75" thickTop="1">
      <c r="B46" s="136"/>
      <c r="C46" s="137"/>
      <c r="E46" s="131"/>
      <c r="F46" s="137"/>
      <c r="G46" s="137"/>
      <c r="H46" s="137"/>
      <c r="I46" s="156"/>
      <c r="J46" s="156"/>
      <c r="K46" s="156"/>
      <c r="L46" s="157"/>
      <c r="M46" s="131"/>
    </row>
    <row r="47" spans="2:13">
      <c r="B47" s="136"/>
      <c r="C47" s="137"/>
      <c r="E47" s="131"/>
      <c r="F47" s="137"/>
      <c r="G47" s="137"/>
      <c r="H47" s="137"/>
      <c r="I47" s="156"/>
      <c r="J47" s="156"/>
      <c r="K47" s="156"/>
      <c r="L47" s="157"/>
      <c r="M47" s="131"/>
    </row>
    <row r="48" spans="2:13">
      <c r="B48" s="136"/>
      <c r="C48" s="137"/>
      <c r="E48" s="131"/>
      <c r="F48" s="137"/>
      <c r="G48" s="137"/>
      <c r="H48" s="137"/>
      <c r="I48" s="156"/>
      <c r="J48" s="156"/>
      <c r="K48" s="156"/>
      <c r="L48" s="157"/>
      <c r="M48" s="131"/>
    </row>
    <row r="49" spans="2:16">
      <c r="D49" s="131"/>
      <c r="E49" s="131"/>
      <c r="G49" s="144"/>
      <c r="H49" s="131"/>
      <c r="I49" s="131"/>
      <c r="J49" s="131"/>
      <c r="K49" s="131"/>
      <c r="L49" s="131"/>
      <c r="M49" s="162"/>
    </row>
    <row r="50" spans="2:16">
      <c r="D50" s="131"/>
      <c r="E50" s="131"/>
      <c r="F50" s="137"/>
      <c r="G50" s="144"/>
      <c r="H50" s="131"/>
      <c r="I50" s="131"/>
      <c r="J50" s="131"/>
      <c r="K50" s="131"/>
      <c r="L50" s="131"/>
      <c r="M50" s="162"/>
      <c r="P50" s="163"/>
    </row>
    <row r="51" spans="2:16">
      <c r="D51" s="131"/>
      <c r="E51" s="131"/>
      <c r="F51" s="137" t="str">
        <f>F5</f>
        <v>AEPTCo subsidiaries in PJM</v>
      </c>
      <c r="G51" s="144"/>
      <c r="H51" s="131"/>
      <c r="I51" s="131"/>
      <c r="J51" s="131"/>
      <c r="K51" s="131"/>
      <c r="L51" s="131"/>
      <c r="M51" s="162"/>
      <c r="P51" s="163"/>
    </row>
    <row r="52" spans="2:16">
      <c r="D52" s="131"/>
      <c r="E52" s="135"/>
      <c r="F52" s="137" t="str">
        <f>F6</f>
        <v>Transmission Cost of Service Formula Rate</v>
      </c>
      <c r="G52" s="135"/>
      <c r="H52" s="135"/>
      <c r="I52" s="135"/>
      <c r="J52" s="135"/>
      <c r="K52" s="135"/>
      <c r="L52" s="135"/>
      <c r="M52" s="164"/>
      <c r="P52" s="165"/>
    </row>
    <row r="53" spans="2:16">
      <c r="D53" s="131"/>
      <c r="E53" s="135"/>
      <c r="F53" s="149" t="str">
        <f>F7</f>
        <v>Utilizing  Actual/Projected FERC Form 1 Data</v>
      </c>
      <c r="G53" s="135"/>
      <c r="H53" s="135"/>
      <c r="I53" s="135"/>
      <c r="J53" s="135"/>
      <c r="K53" s="135"/>
      <c r="L53" s="135"/>
      <c r="M53" s="166"/>
      <c r="P53" s="165"/>
    </row>
    <row r="54" spans="2:16">
      <c r="D54" s="131"/>
      <c r="E54" s="135"/>
      <c r="F54" s="137"/>
      <c r="G54" s="135"/>
      <c r="H54" s="135"/>
      <c r="I54" s="135"/>
      <c r="J54" s="135"/>
      <c r="K54" s="135"/>
      <c r="L54" s="135"/>
      <c r="M54" s="135"/>
      <c r="P54" s="165"/>
    </row>
    <row r="55" spans="2:16">
      <c r="D55" s="131"/>
      <c r="E55" s="135"/>
      <c r="F55" s="137" t="str">
        <f>F9</f>
        <v>AEP Kentucky Transmission Company</v>
      </c>
      <c r="G55" s="135"/>
      <c r="H55" s="135"/>
      <c r="I55" s="135"/>
      <c r="J55" s="135"/>
      <c r="K55" s="135"/>
      <c r="L55" s="135"/>
      <c r="M55" s="135"/>
      <c r="P55" s="165"/>
    </row>
    <row r="56" spans="2:16">
      <c r="D56" s="131"/>
      <c r="E56" s="149"/>
      <c r="F56" s="149"/>
      <c r="G56" s="149"/>
      <c r="H56" s="149"/>
      <c r="I56" s="149"/>
      <c r="J56" s="149"/>
      <c r="K56" s="149"/>
      <c r="L56" s="135"/>
      <c r="M56" s="135"/>
      <c r="P56" s="165"/>
    </row>
    <row r="57" spans="2:16">
      <c r="D57" s="137" t="s">
        <v>423</v>
      </c>
      <c r="E57" s="137" t="s">
        <v>424</v>
      </c>
      <c r="F57" s="137"/>
      <c r="G57" s="137" t="s">
        <v>425</v>
      </c>
      <c r="H57" s="135" t="s">
        <v>416</v>
      </c>
      <c r="I57" s="1123" t="s">
        <v>426</v>
      </c>
      <c r="J57" s="1124"/>
      <c r="K57" s="135"/>
      <c r="L57" s="138" t="s">
        <v>427</v>
      </c>
      <c r="M57" s="135"/>
    </row>
    <row r="58" spans="2:16">
      <c r="B58" s="126"/>
      <c r="D58" s="41"/>
      <c r="E58" s="41"/>
      <c r="F58" s="41"/>
      <c r="G58" s="160"/>
      <c r="H58" s="135"/>
      <c r="I58" s="135"/>
      <c r="J58" s="168"/>
      <c r="K58" s="135"/>
      <c r="M58" s="135"/>
    </row>
    <row r="59" spans="2:16" ht="15.75">
      <c r="B59" s="169"/>
      <c r="C59" s="137"/>
      <c r="D59" s="41"/>
      <c r="E59" s="170" t="s">
        <v>396</v>
      </c>
      <c r="F59" s="171"/>
      <c r="G59" s="135"/>
      <c r="H59" s="135"/>
      <c r="I59" s="135"/>
      <c r="J59" s="137"/>
      <c r="K59" s="135"/>
      <c r="L59" s="172" t="s">
        <v>420</v>
      </c>
      <c r="M59" s="135"/>
      <c r="P59" s="163"/>
    </row>
    <row r="60" spans="2:16" ht="15.75">
      <c r="B60" s="126"/>
      <c r="C60" s="137"/>
      <c r="D60" s="173" t="s">
        <v>395</v>
      </c>
      <c r="E60" s="174" t="s">
        <v>414</v>
      </c>
      <c r="F60" s="135"/>
      <c r="G60" s="173" t="s">
        <v>382</v>
      </c>
      <c r="H60" s="175"/>
      <c r="I60" s="1125" t="s">
        <v>421</v>
      </c>
      <c r="J60" s="1126"/>
      <c r="K60" s="175"/>
      <c r="L60" s="173" t="s">
        <v>417</v>
      </c>
      <c r="M60" s="135"/>
    </row>
    <row r="61" spans="2:16">
      <c r="B61" s="136" t="str">
        <f>B11</f>
        <v>Line</v>
      </c>
      <c r="C61" s="137"/>
      <c r="D61" s="131"/>
      <c r="E61" s="135"/>
      <c r="F61" s="135"/>
      <c r="G61" s="176" t="s">
        <v>156</v>
      </c>
      <c r="H61" s="135"/>
      <c r="I61" s="135"/>
      <c r="J61" s="135"/>
      <c r="K61" s="135"/>
      <c r="L61" s="135"/>
      <c r="M61" s="135"/>
    </row>
    <row r="62" spans="2:16" ht="15.75" thickBot="1">
      <c r="B62" s="142" t="str">
        <f>B12</f>
        <v>No.</v>
      </c>
      <c r="C62" s="137"/>
      <c r="D62" s="131" t="s">
        <v>383</v>
      </c>
      <c r="E62" s="149"/>
      <c r="F62" s="149"/>
      <c r="G62" s="135"/>
      <c r="H62" s="135"/>
      <c r="I62" s="149"/>
      <c r="J62" s="135"/>
      <c r="K62" s="135"/>
      <c r="L62" s="135"/>
      <c r="M62" s="135"/>
    </row>
    <row r="63" spans="2:16">
      <c r="B63" s="136">
        <f>+B45+1</f>
        <v>19</v>
      </c>
      <c r="C63" s="178"/>
      <c r="D63" s="179" t="s">
        <v>429</v>
      </c>
      <c r="E63" s="135" t="str">
        <f>"(Worksheet A ln "&amp;'WS A - Rate Base Support'!A23&amp;"."&amp;'WS A - Rate Base Support'!C8 &amp;" &amp; Ln "&amp;B215&amp;")"</f>
        <v>(Worksheet A ln 14.(d) &amp; Ln 117)</v>
      </c>
      <c r="F63" s="180"/>
      <c r="G63" s="148">
        <f>'WS A - Rate Base Support'!C23</f>
        <v>160022293.89076921</v>
      </c>
      <c r="H63" s="148"/>
      <c r="I63" s="181" t="s">
        <v>430</v>
      </c>
      <c r="J63" s="150">
        <v>1</v>
      </c>
      <c r="K63" s="182"/>
      <c r="L63" s="183">
        <f>+L215</f>
        <v>160022293.89076921</v>
      </c>
      <c r="M63" s="182"/>
    </row>
    <row r="64" spans="2:16">
      <c r="B64" s="136">
        <f>+B63+1</f>
        <v>20</v>
      </c>
      <c r="C64" s="178"/>
      <c r="D64" s="131" t="s">
        <v>179</v>
      </c>
      <c r="E64" s="135" t="str">
        <f>"(Worksheet A ln "&amp;'WS A - Rate Base Support'!A23&amp;"."&amp;'WS A - Rate Base Support'!D8 &amp;")"</f>
        <v>(Worksheet A ln 14.(e))</v>
      </c>
      <c r="F64" s="180"/>
      <c r="G64" s="148">
        <f>'WS A - Rate Base Support'!D23</f>
        <v>0</v>
      </c>
      <c r="H64" s="148"/>
      <c r="I64" s="181" t="s">
        <v>422</v>
      </c>
      <c r="J64" s="150">
        <f>J140</f>
        <v>1</v>
      </c>
      <c r="K64" s="182"/>
      <c r="L64" s="183">
        <f>+G64*J64</f>
        <v>0</v>
      </c>
      <c r="M64" s="182"/>
    </row>
    <row r="65" spans="2:15">
      <c r="B65" s="136">
        <f>+B64+1</f>
        <v>21</v>
      </c>
      <c r="C65" s="178"/>
      <c r="D65" s="131" t="s">
        <v>431</v>
      </c>
      <c r="E65" s="135" t="str">
        <f>"(Worksheet A ln "&amp;'WS A - Rate Base Support'!A23&amp;"."&amp;'WS A - Rate Base Support'!E8 &amp;")"</f>
        <v>(Worksheet A ln 14.(h))</v>
      </c>
      <c r="F65" s="135"/>
      <c r="G65" s="148">
        <f>'WS A - Rate Base Support'!E23</f>
        <v>27142686.078461532</v>
      </c>
      <c r="H65" s="148"/>
      <c r="I65" s="149" t="s">
        <v>432</v>
      </c>
      <c r="J65" s="150">
        <f>L235</f>
        <v>1</v>
      </c>
      <c r="K65" s="135"/>
      <c r="L65" s="148">
        <f>+J65*G65</f>
        <v>27142686.078461532</v>
      </c>
      <c r="M65" s="135"/>
    </row>
    <row r="66" spans="2:15">
      <c r="B66" s="136">
        <f>+B65+1</f>
        <v>22</v>
      </c>
      <c r="C66" s="178"/>
      <c r="D66" s="131" t="s">
        <v>178</v>
      </c>
      <c r="E66" s="135" t="str">
        <f>"(Worksheet A ln "&amp;'WS A - Rate Base Support'!A23&amp;"."&amp;'WS A - Rate Base Support'!F8 &amp;")"</f>
        <v>(Worksheet A ln 14.(i))</v>
      </c>
      <c r="F66" s="135"/>
      <c r="G66" s="148">
        <f>'WS A - Rate Base Support'!F23</f>
        <v>0</v>
      </c>
      <c r="H66" s="148"/>
      <c r="I66" s="149" t="s">
        <v>432</v>
      </c>
      <c r="J66" s="150">
        <f>L235</f>
        <v>1</v>
      </c>
      <c r="K66" s="135"/>
      <c r="L66" s="148">
        <f>+G66*J66</f>
        <v>0</v>
      </c>
      <c r="M66" s="135"/>
    </row>
    <row r="67" spans="2:15">
      <c r="B67" s="136">
        <f>+B66+1</f>
        <v>23</v>
      </c>
      <c r="C67" s="178"/>
      <c r="D67" s="131" t="s">
        <v>433</v>
      </c>
      <c r="E67" s="135" t="str">
        <f>"(Worksheet A ln "&amp;'WS A - Rate Base Support'!A23&amp;"."&amp;'WS A - Rate Base Support'!G8 &amp;")"</f>
        <v>(Worksheet A ln 14.(j))</v>
      </c>
      <c r="F67" s="135"/>
      <c r="G67" s="148">
        <f>'WS A - Rate Base Support'!G23</f>
        <v>147568.29615384617</v>
      </c>
      <c r="H67" s="148"/>
      <c r="I67" s="149" t="s">
        <v>432</v>
      </c>
      <c r="J67" s="150">
        <f>L235</f>
        <v>1</v>
      </c>
      <c r="K67" s="135"/>
      <c r="L67" s="148">
        <f>+J67*G67</f>
        <v>147568.29615384617</v>
      </c>
      <c r="M67" s="135"/>
      <c r="N67" s="131"/>
      <c r="O67" s="131"/>
    </row>
    <row r="68" spans="2:15">
      <c r="B68" s="136" t="s">
        <v>1036</v>
      </c>
      <c r="C68" s="178"/>
      <c r="D68" s="131" t="s">
        <v>1029</v>
      </c>
      <c r="E68" s="135" t="str">
        <f>"(Worksheet A ln "&amp;'WS A - Rate Base Support'!A23&amp;"."&amp;'WS A - Rate Base Support'!H8 &amp;")"</f>
        <v>(Worksheet A ln 14.(k))</v>
      </c>
      <c r="F68" s="135"/>
      <c r="G68" s="148">
        <f>'WS A - Rate Base Support'!H23</f>
        <v>0</v>
      </c>
      <c r="H68" s="148"/>
      <c r="I68" s="149" t="s">
        <v>1031</v>
      </c>
      <c r="J68" s="150">
        <f>$L$224</f>
        <v>1</v>
      </c>
      <c r="K68" s="135"/>
      <c r="L68" s="241">
        <f t="shared" ref="L68:L69" si="0">+G68*J68</f>
        <v>0</v>
      </c>
      <c r="M68" s="135"/>
      <c r="N68" s="131"/>
      <c r="O68" s="131"/>
    </row>
    <row r="69" spans="2:15" ht="15.75" thickBot="1">
      <c r="B69" s="136" t="s">
        <v>1037</v>
      </c>
      <c r="C69" s="178"/>
      <c r="D69" s="131" t="s">
        <v>1038</v>
      </c>
      <c r="E69" s="135" t="str">
        <f>"(Worksheet A ln "&amp;'WS A - Rate Base Support'!A23&amp;"."&amp;'WS A - Rate Base Support'!I8 &amp;")"</f>
        <v>(Worksheet A ln 14.(l))</v>
      </c>
      <c r="F69" s="135"/>
      <c r="G69" s="184">
        <f>'WS A - Rate Base Support'!I23</f>
        <v>0</v>
      </c>
      <c r="H69" s="148"/>
      <c r="I69" s="149" t="s">
        <v>1031</v>
      </c>
      <c r="J69" s="150">
        <f>$L$224</f>
        <v>1</v>
      </c>
      <c r="K69" s="135"/>
      <c r="L69" s="1102">
        <f t="shared" si="0"/>
        <v>0</v>
      </c>
      <c r="M69" s="135"/>
      <c r="N69" s="131"/>
      <c r="O69" s="131"/>
    </row>
    <row r="70" spans="2:15" ht="15.75">
      <c r="B70" s="136">
        <f>+B67+1</f>
        <v>24</v>
      </c>
      <c r="C70" s="178"/>
      <c r="D70" s="131" t="s">
        <v>381</v>
      </c>
      <c r="E70" s="135" t="str">
        <f>"(Sum of Lines: "&amp;B63&amp;" to "&amp;B67&amp;")"</f>
        <v>(Sum of Lines: 19 to 23)</v>
      </c>
      <c r="F70" s="41"/>
      <c r="G70" s="148">
        <f>SUM(G63:G69)</f>
        <v>187312548.26538458</v>
      </c>
      <c r="H70" s="148"/>
      <c r="I70" s="185" t="s">
        <v>761</v>
      </c>
      <c r="J70" s="186">
        <f>IF(G70=0,0,L70/G70)</f>
        <v>1</v>
      </c>
      <c r="K70" s="135"/>
      <c r="L70" s="148">
        <f>SUM(L63:L69)</f>
        <v>187312548.26538458</v>
      </c>
      <c r="M70" s="135"/>
      <c r="N70" s="131"/>
      <c r="O70" s="131"/>
    </row>
    <row r="71" spans="2:15" ht="15.75">
      <c r="B71" s="136"/>
      <c r="C71" s="137"/>
      <c r="D71" s="131"/>
      <c r="E71" s="167"/>
      <c r="F71" s="41"/>
      <c r="G71" s="148"/>
      <c r="H71" s="148"/>
      <c r="I71" s="185" t="s">
        <v>508</v>
      </c>
      <c r="J71" s="187">
        <f>+IF(L63=0,0,L63/(G63))</f>
        <v>1</v>
      </c>
      <c r="K71" s="135"/>
      <c r="L71" s="148"/>
      <c r="M71" s="135"/>
      <c r="N71" s="188"/>
      <c r="O71" s="131"/>
    </row>
    <row r="72" spans="2:15">
      <c r="B72" s="136">
        <f>+B70+1</f>
        <v>25</v>
      </c>
      <c r="C72" s="137"/>
      <c r="D72" s="131" t="s">
        <v>361</v>
      </c>
      <c r="E72" s="149"/>
      <c r="F72" s="149"/>
      <c r="G72" s="148"/>
      <c r="H72" s="189"/>
      <c r="I72" s="149"/>
      <c r="J72" s="190"/>
      <c r="K72" s="135"/>
      <c r="L72" s="148"/>
      <c r="M72" s="135"/>
      <c r="N72" s="135"/>
      <c r="O72" s="135"/>
    </row>
    <row r="73" spans="2:15" ht="15.75">
      <c r="B73" s="136">
        <f t="shared" ref="B73:B77" si="1">+B72+1</f>
        <v>26</v>
      </c>
      <c r="C73" s="178"/>
      <c r="D73" s="179" t="str">
        <f>D63</f>
        <v xml:space="preserve">  Transmission</v>
      </c>
      <c r="E73" s="135" t="str">
        <f>"(Worksheet A ln "&amp;'WS A - Rate Base Support'!A42&amp;"."&amp;'WS A - Rate Base Support'!C27 &amp;" &amp; Ln "&amp;'WS A - Rate Base Support'!A64&amp;"."&amp;'WS A - Rate Base Support'!C47&amp;")"</f>
        <v>(Worksheet A ln 28.(d) &amp; Ln 43.(b))</v>
      </c>
      <c r="F73" s="180"/>
      <c r="G73" s="183">
        <f>'WS A - Rate Base Support'!C42</f>
        <v>30792448.699230768</v>
      </c>
      <c r="H73" s="148"/>
      <c r="I73" s="191" t="s">
        <v>364</v>
      </c>
      <c r="J73" s="192">
        <f>IF(G73=0,1,L73/G73)</f>
        <v>1</v>
      </c>
      <c r="K73" s="182"/>
      <c r="L73" s="148">
        <f>'WS A - Rate Base Support'!C64</f>
        <v>30792448.699230768</v>
      </c>
      <c r="M73" s="182"/>
      <c r="N73" s="135"/>
      <c r="O73" s="135"/>
    </row>
    <row r="74" spans="2:15" ht="15.75">
      <c r="B74" s="136">
        <f t="shared" si="1"/>
        <v>27</v>
      </c>
      <c r="C74" s="178"/>
      <c r="D74" s="131" t="s">
        <v>179</v>
      </c>
      <c r="E74" s="135" t="str">
        <f>"(Worksheet A ln "&amp;'WS A - Rate Base Support'!A42&amp;"."&amp;'WS A - Rate Base Support'!D27 &amp;")"</f>
        <v>(Worksheet A ln 28.(e))</v>
      </c>
      <c r="F74" s="180"/>
      <c r="G74" s="148">
        <f>'WS A - Rate Base Support'!D42</f>
        <v>0</v>
      </c>
      <c r="H74" s="148"/>
      <c r="I74" s="191" t="s">
        <v>364</v>
      </c>
      <c r="J74" s="150">
        <f>+J73</f>
        <v>1</v>
      </c>
      <c r="K74" s="182"/>
      <c r="L74" s="148">
        <f>+J74*G74</f>
        <v>0</v>
      </c>
      <c r="M74" s="182"/>
      <c r="N74" s="135"/>
      <c r="O74" s="135"/>
    </row>
    <row r="75" spans="2:15">
      <c r="B75" s="136">
        <f t="shared" si="1"/>
        <v>28</v>
      </c>
      <c r="C75" s="178"/>
      <c r="D75" s="131" t="str">
        <f>+D65</f>
        <v xml:space="preserve">  General Plant   </v>
      </c>
      <c r="E75" s="135" t="str">
        <f>"(Worksheet A ln "&amp;'WS A - Rate Base Support'!A42&amp;"."&amp;'WS A - Rate Base Support'!E27 &amp;")"</f>
        <v>(Worksheet A ln 28.(h))</v>
      </c>
      <c r="F75" s="135"/>
      <c r="G75" s="148">
        <f>'WS A - Rate Base Support'!E42</f>
        <v>4748600.2738461532</v>
      </c>
      <c r="H75" s="148"/>
      <c r="I75" s="149" t="s">
        <v>432</v>
      </c>
      <c r="J75" s="150">
        <f>L235</f>
        <v>1</v>
      </c>
      <c r="K75" s="135"/>
      <c r="L75" s="148">
        <f>+J75*G75</f>
        <v>4748600.2738461532</v>
      </c>
      <c r="M75" s="135"/>
      <c r="N75" s="135"/>
      <c r="O75" s="135"/>
    </row>
    <row r="76" spans="2:15">
      <c r="B76" s="136">
        <f t="shared" si="1"/>
        <v>29</v>
      </c>
      <c r="C76" s="178"/>
      <c r="D76" s="131" t="s">
        <v>178</v>
      </c>
      <c r="E76" s="135" t="str">
        <f>"(Worksheet A ln "&amp;'WS A - Rate Base Support'!A42&amp;"."&amp;'WS A - Rate Base Support'!F27 &amp;")"</f>
        <v>(Worksheet A ln 28.(i))</v>
      </c>
      <c r="F76" s="135"/>
      <c r="G76" s="148">
        <f>'WS A - Rate Base Support'!F42</f>
        <v>0</v>
      </c>
      <c r="H76" s="148"/>
      <c r="I76" s="149" t="s">
        <v>432</v>
      </c>
      <c r="J76" s="150">
        <f>L235</f>
        <v>1</v>
      </c>
      <c r="K76" s="135"/>
      <c r="L76" s="148">
        <f>+J76*G76</f>
        <v>0</v>
      </c>
      <c r="M76" s="135"/>
      <c r="N76" s="135"/>
      <c r="O76" s="135"/>
    </row>
    <row r="77" spans="2:15">
      <c r="B77" s="136">
        <f t="shared" si="1"/>
        <v>30</v>
      </c>
      <c r="C77" s="178"/>
      <c r="D77" s="131" t="str">
        <f>+D67</f>
        <v xml:space="preserve">  Intangible Plant</v>
      </c>
      <c r="E77" s="135" t="str">
        <f>"(Worksheet A ln "&amp;'WS A - Rate Base Support'!A42&amp;"."&amp;'WS A - Rate Base Support'!G27 &amp;")"</f>
        <v>(Worksheet A ln 28.(j))</v>
      </c>
      <c r="F77" s="135"/>
      <c r="G77" s="148">
        <f>'WS A - Rate Base Support'!G42</f>
        <v>77980.800000000003</v>
      </c>
      <c r="H77" s="148"/>
      <c r="I77" s="149" t="s">
        <v>432</v>
      </c>
      <c r="J77" s="150">
        <f>L235</f>
        <v>1</v>
      </c>
      <c r="K77" s="135"/>
      <c r="L77" s="1103">
        <f>+J77*G77</f>
        <v>77980.800000000003</v>
      </c>
      <c r="M77" s="135"/>
      <c r="N77" s="135"/>
      <c r="O77" s="135"/>
    </row>
    <row r="78" spans="2:15">
      <c r="B78" s="136" t="s">
        <v>1039</v>
      </c>
      <c r="C78" s="178"/>
      <c r="D78" s="131" t="s">
        <v>1029</v>
      </c>
      <c r="E78" s="135" t="str">
        <f>"(Worksheet A ln "&amp;'WS A - Rate Base Support'!A42&amp;"."&amp;'WS A - Rate Base Support'!H27 &amp;")"</f>
        <v>(Worksheet A ln 28.(k))</v>
      </c>
      <c r="F78" s="135"/>
      <c r="G78" s="148">
        <f>'WS A - Rate Base Support'!H42</f>
        <v>0</v>
      </c>
      <c r="H78" s="148"/>
      <c r="I78" s="149" t="s">
        <v>1031</v>
      </c>
      <c r="J78" s="150">
        <f>$L$224</f>
        <v>1</v>
      </c>
      <c r="K78" s="135"/>
      <c r="L78" s="241">
        <f t="shared" ref="L78:L79" si="2">+J78*G78</f>
        <v>0</v>
      </c>
      <c r="M78" s="135"/>
      <c r="N78" s="135"/>
      <c r="O78" s="135"/>
    </row>
    <row r="79" spans="2:15" ht="15.75" thickBot="1">
      <c r="B79" s="136" t="s">
        <v>1040</v>
      </c>
      <c r="C79" s="178"/>
      <c r="D79" s="131" t="s">
        <v>1038</v>
      </c>
      <c r="E79" s="135" t="str">
        <f>"(Worksheet A ln "&amp;'WS A - Rate Base Support'!A42&amp;"."&amp;'WS A - Rate Base Support'!I27 &amp;")"</f>
        <v>(Worksheet A ln 28.(l))</v>
      </c>
      <c r="F79" s="135"/>
      <c r="G79" s="184">
        <f>'WS A - Rate Base Support'!I42</f>
        <v>0</v>
      </c>
      <c r="H79" s="148"/>
      <c r="I79" s="149" t="s">
        <v>1031</v>
      </c>
      <c r="J79" s="150">
        <f>$L$224</f>
        <v>1</v>
      </c>
      <c r="K79" s="135"/>
      <c r="L79" s="1102">
        <f t="shared" si="2"/>
        <v>0</v>
      </c>
      <c r="M79" s="135"/>
      <c r="N79" s="135"/>
      <c r="O79" s="135"/>
    </row>
    <row r="80" spans="2:15">
      <c r="B80" s="136">
        <f>+B77+1</f>
        <v>31</v>
      </c>
      <c r="C80" s="178"/>
      <c r="D80" s="131" t="s">
        <v>380</v>
      </c>
      <c r="E80" s="135" t="str">
        <f>"(Sum of Lines: "&amp;B73&amp;" to "&amp;B77&amp;")"</f>
        <v>(Sum of Lines: 26 to 30)</v>
      </c>
      <c r="F80" s="193"/>
      <c r="G80" s="148">
        <f>SUM(G73:G79)</f>
        <v>35619029.773076922</v>
      </c>
      <c r="H80" s="148"/>
      <c r="I80" s="149"/>
      <c r="J80" s="135"/>
      <c r="K80" s="148"/>
      <c r="L80" s="148">
        <f>SUM(L73:L79)</f>
        <v>35619029.773076922</v>
      </c>
      <c r="M80" s="135"/>
      <c r="N80" s="135"/>
      <c r="O80" s="135"/>
    </row>
    <row r="81" spans="2:15">
      <c r="B81" s="136"/>
      <c r="C81" s="137"/>
      <c r="E81" s="194"/>
      <c r="F81" s="193"/>
      <c r="G81" s="148"/>
      <c r="H81" s="148"/>
      <c r="I81" s="149"/>
      <c r="J81" s="195"/>
      <c r="K81" s="135"/>
      <c r="L81" s="148"/>
      <c r="M81" s="135"/>
      <c r="N81" s="135"/>
      <c r="O81" s="135"/>
    </row>
    <row r="82" spans="2:15">
      <c r="B82" s="136">
        <f>+B80+1</f>
        <v>32</v>
      </c>
      <c r="C82" s="137"/>
      <c r="D82" s="131" t="s">
        <v>384</v>
      </c>
      <c r="E82" s="149"/>
      <c r="F82" s="149"/>
      <c r="G82" s="148"/>
      <c r="H82" s="148"/>
      <c r="I82" s="149"/>
      <c r="J82" s="135"/>
      <c r="K82" s="135"/>
      <c r="L82" s="148"/>
      <c r="M82" s="135"/>
      <c r="N82" s="135"/>
      <c r="O82" s="135"/>
    </row>
    <row r="83" spans="2:15">
      <c r="B83" s="196">
        <f>+B82+1</f>
        <v>33</v>
      </c>
      <c r="C83" s="178"/>
      <c r="D83" s="131" t="str">
        <f>+D73</f>
        <v xml:space="preserve">  Transmission</v>
      </c>
      <c r="E83" s="135" t="str">
        <f>" (ln "&amp;B63&amp;" + ln "&amp;B64&amp;" - ln "&amp;B73&amp;" - ln "&amp;B74&amp;")"</f>
        <v xml:space="preserve"> (ln 19 + ln 20 - ln 26 - ln 27)</v>
      </c>
      <c r="F83" s="135"/>
      <c r="G83" s="148">
        <f>+G63+G64-G73-G74</f>
        <v>129229845.19153845</v>
      </c>
      <c r="H83" s="148"/>
      <c r="I83" s="149"/>
      <c r="J83" s="192"/>
      <c r="K83" s="135"/>
      <c r="L83" s="148">
        <f>+L63+L64-L73-L74</f>
        <v>129229845.19153845</v>
      </c>
      <c r="M83" s="135"/>
      <c r="N83" s="135"/>
      <c r="O83" s="135"/>
    </row>
    <row r="84" spans="2:15">
      <c r="B84" s="136">
        <f>+B83+1</f>
        <v>34</v>
      </c>
      <c r="C84" s="178"/>
      <c r="D84" s="131" t="str">
        <f>+D75</f>
        <v xml:space="preserve">  General Plant   </v>
      </c>
      <c r="E84" s="135" t="str">
        <f>" (ln "&amp;B65&amp;" + ln "&amp;B66&amp;" - ln "&amp;B75&amp;" - ln "&amp;B76&amp;")"</f>
        <v xml:space="preserve"> (ln 21 + ln 22 - ln 28 - ln 29)</v>
      </c>
      <c r="F84" s="135"/>
      <c r="G84" s="148">
        <f>+G65+G66-G75-G76</f>
        <v>22394085.804615378</v>
      </c>
      <c r="H84" s="148"/>
      <c r="I84" s="149"/>
      <c r="J84" s="195"/>
      <c r="K84" s="135"/>
      <c r="L84" s="148">
        <f>+L65+L66-L75-L76</f>
        <v>22394085.804615378</v>
      </c>
      <c r="M84" s="135"/>
      <c r="N84" s="135"/>
      <c r="O84" s="135"/>
    </row>
    <row r="85" spans="2:15">
      <c r="B85" s="136">
        <f>+B84+1</f>
        <v>35</v>
      </c>
      <c r="C85" s="178"/>
      <c r="D85" s="131" t="str">
        <f>+D77</f>
        <v xml:space="preserve">  Intangible Plant</v>
      </c>
      <c r="E85" s="135" t="str">
        <f>" (ln "&amp;B67&amp;" - ln "&amp;B77&amp;")"</f>
        <v xml:space="preserve"> (ln 23 - ln 30)</v>
      </c>
      <c r="F85" s="135"/>
      <c r="G85" s="148">
        <f>+G67-G77</f>
        <v>69587.496153846165</v>
      </c>
      <c r="H85" s="148"/>
      <c r="I85" s="149"/>
      <c r="J85" s="195"/>
      <c r="K85" s="135"/>
      <c r="L85" s="148">
        <f>+L67-L77</f>
        <v>69587.496153846165</v>
      </c>
      <c r="M85" s="135"/>
      <c r="N85" s="135"/>
      <c r="O85" s="135"/>
    </row>
    <row r="86" spans="2:15" ht="15.75" thickBot="1">
      <c r="B86" s="136" t="s">
        <v>1041</v>
      </c>
      <c r="C86" s="178"/>
      <c r="D86" s="131" t="s">
        <v>1029</v>
      </c>
      <c r="E86" s="135" t="str">
        <f>" (ln "&amp;B68&amp;" + ln "&amp;B69&amp;" - ln "&amp;B78&amp;" - ln "&amp;B79&amp;")"</f>
        <v xml:space="preserve"> (ln 23a + ln 23b - ln 30a - ln 30b)</v>
      </c>
      <c r="F86" s="135"/>
      <c r="G86" s="184">
        <f>+G68+G69-G78-G79</f>
        <v>0</v>
      </c>
      <c r="H86" s="148"/>
      <c r="I86" s="149"/>
      <c r="J86" s="195"/>
      <c r="K86" s="135"/>
      <c r="L86" s="184">
        <f>L68+L69-L78-L79</f>
        <v>0</v>
      </c>
      <c r="M86" s="135"/>
      <c r="N86" s="135"/>
      <c r="O86" s="135"/>
    </row>
    <row r="87" spans="2:15" ht="15.75">
      <c r="B87" s="136">
        <f>+B85+1</f>
        <v>36</v>
      </c>
      <c r="C87" s="178"/>
      <c r="D87" s="131" t="s">
        <v>379</v>
      </c>
      <c r="E87" s="135" t="str">
        <f>"(Sum of Lines: "&amp;B83&amp;" to "&amp;B85&amp;")"</f>
        <v>(Sum of Lines: 33 to 35)</v>
      </c>
      <c r="F87" s="135"/>
      <c r="G87" s="148">
        <f>SUM(G83:G86)</f>
        <v>151693518.49230766</v>
      </c>
      <c r="H87" s="148"/>
      <c r="I87" s="197" t="s">
        <v>762</v>
      </c>
      <c r="J87" s="186">
        <f>IF(G87=0,0,+L87/G87)</f>
        <v>1</v>
      </c>
      <c r="K87" s="135"/>
      <c r="L87" s="148">
        <f>SUM(L83:L86)</f>
        <v>151693518.49230766</v>
      </c>
      <c r="M87" s="135"/>
      <c r="N87" s="135"/>
      <c r="O87" s="135"/>
    </row>
    <row r="88" spans="2:15">
      <c r="B88" s="136"/>
      <c r="C88" s="137"/>
      <c r="D88" s="131"/>
      <c r="E88" s="135"/>
      <c r="F88" s="135"/>
      <c r="G88" s="148"/>
      <c r="H88" s="148"/>
      <c r="J88" s="198"/>
      <c r="K88" s="135"/>
      <c r="L88" s="148"/>
      <c r="M88" s="135"/>
      <c r="N88" s="135"/>
      <c r="O88" s="135"/>
    </row>
    <row r="89" spans="2:15">
      <c r="B89" s="136"/>
      <c r="C89" s="137"/>
      <c r="G89" s="41"/>
      <c r="H89" s="41"/>
      <c r="I89" s="41"/>
      <c r="J89" s="41"/>
      <c r="K89" s="41"/>
      <c r="L89" s="41"/>
      <c r="M89"/>
      <c r="N89" s="135"/>
      <c r="O89" s="135"/>
    </row>
    <row r="90" spans="2:15">
      <c r="B90" s="136">
        <f>+B87+1</f>
        <v>37</v>
      </c>
      <c r="C90" s="137"/>
      <c r="D90" s="131" t="s">
        <v>129</v>
      </c>
      <c r="E90" s="135" t="s">
        <v>106</v>
      </c>
      <c r="F90" s="149"/>
      <c r="G90" s="41"/>
      <c r="H90" s="41"/>
      <c r="I90" s="41"/>
      <c r="J90" s="41"/>
      <c r="K90" s="41"/>
      <c r="L90" s="41"/>
      <c r="M90"/>
      <c r="N90" s="135"/>
      <c r="O90" s="135"/>
    </row>
    <row r="91" spans="2:15">
      <c r="B91" s="136">
        <f t="shared" ref="B91:B96" si="3">+B90+1</f>
        <v>38</v>
      </c>
      <c r="C91" s="178"/>
      <c r="D91" s="131" t="s">
        <v>485</v>
      </c>
      <c r="E91" s="135" t="str">
        <f>"(Worksheet B, ln "&amp;'WS B ADIT &amp; ITC'!A17&amp;" &amp; ln "&amp;'WS B ADIT &amp; ITC'!A20&amp;".E)"</f>
        <v>(Worksheet B, ln 2 &amp; ln 5.E)</v>
      </c>
      <c r="F91" s="135"/>
      <c r="G91" s="148">
        <f>'WS B ADIT &amp; ITC'!I17</f>
        <v>0</v>
      </c>
      <c r="H91" s="148"/>
      <c r="I91" s="149" t="s">
        <v>428</v>
      </c>
      <c r="J91" s="150"/>
      <c r="K91" s="135"/>
      <c r="L91" s="148">
        <f>'WS B ADIT &amp; ITC'!I20</f>
        <v>0</v>
      </c>
      <c r="M91" s="135"/>
      <c r="N91" s="135"/>
      <c r="O91" s="135"/>
    </row>
    <row r="92" spans="2:15">
      <c r="B92" s="136">
        <f t="shared" si="3"/>
        <v>39</v>
      </c>
      <c r="C92" s="178"/>
      <c r="D92" s="131" t="s">
        <v>486</v>
      </c>
      <c r="E92" s="135" t="str">
        <f>"(Worksheet B, ln "&amp;'WS B ADIT &amp; ITC'!A25&amp;" &amp; ln "&amp;'WS B ADIT &amp; ITC'!A28&amp;".E)"</f>
        <v>(Worksheet B, ln 7 &amp; ln 10.E)</v>
      </c>
      <c r="F92" s="135"/>
      <c r="G92" s="148">
        <f>-'WS B ADIT &amp; ITC'!I25</f>
        <v>-21408310.140000001</v>
      </c>
      <c r="H92" s="148"/>
      <c r="I92" s="149" t="s">
        <v>430</v>
      </c>
      <c r="J92" s="150"/>
      <c r="K92" s="135"/>
      <c r="L92" s="148">
        <f>-'WS B ADIT &amp; ITC'!I28</f>
        <v>-19216858.815368809</v>
      </c>
      <c r="M92" s="135"/>
      <c r="N92" s="135"/>
      <c r="O92" s="135"/>
    </row>
    <row r="93" spans="2:15">
      <c r="B93" s="136">
        <f t="shared" si="3"/>
        <v>40</v>
      </c>
      <c r="C93" s="178"/>
      <c r="D93" s="131" t="s">
        <v>487</v>
      </c>
      <c r="E93" s="135" t="str">
        <f>"(Worksheet B, ln "&amp;'WS B ADIT &amp; ITC'!A33&amp;" &amp; ln "&amp;'WS B ADIT &amp; ITC'!A36&amp;".E)"</f>
        <v>(Worksheet B, ln 12 &amp; ln 15.E)</v>
      </c>
      <c r="F93" s="135"/>
      <c r="G93" s="148">
        <f>-'WS B ADIT &amp; ITC'!I33</f>
        <v>-2911011.625</v>
      </c>
      <c r="H93" s="148"/>
      <c r="I93" s="149" t="s">
        <v>430</v>
      </c>
      <c r="J93" s="150"/>
      <c r="K93" s="135"/>
      <c r="L93" s="148">
        <f>-'WS B ADIT &amp; ITC'!I36</f>
        <v>-2911011.625</v>
      </c>
      <c r="M93" s="135"/>
      <c r="N93" s="135"/>
      <c r="O93" s="135"/>
    </row>
    <row r="94" spans="2:15">
      <c r="B94" s="136">
        <f t="shared" si="3"/>
        <v>41</v>
      </c>
      <c r="C94" s="178"/>
      <c r="D94" s="131" t="s">
        <v>488</v>
      </c>
      <c r="E94" s="135" t="str">
        <f>"(Worksheet B, ln "&amp;'WS B ADIT &amp; ITC'!A41&amp;" &amp; ln "&amp;'WS B ADIT &amp; ITC'!A44&amp;".E)"</f>
        <v>(Worksheet B, ln 17 &amp; ln 20.E)</v>
      </c>
      <c r="F94" s="135"/>
      <c r="G94" s="148">
        <f>'WS B ADIT &amp; ITC'!I41</f>
        <v>2968280.8249999993</v>
      </c>
      <c r="H94" s="148"/>
      <c r="I94" s="149" t="s">
        <v>430</v>
      </c>
      <c r="J94" s="150"/>
      <c r="K94" s="135"/>
      <c r="L94" s="148">
        <f>'WS B ADIT &amp; ITC'!I44</f>
        <v>3822570.7059199992</v>
      </c>
      <c r="M94" s="135"/>
      <c r="N94" s="135"/>
      <c r="O94" s="135"/>
    </row>
    <row r="95" spans="2:15" ht="15.75" thickBot="1">
      <c r="B95" s="136">
        <f t="shared" si="3"/>
        <v>42</v>
      </c>
      <c r="C95" s="178"/>
      <c r="D95" s="126" t="s">
        <v>434</v>
      </c>
      <c r="E95" s="135" t="str">
        <f>"(Worksheet B, ln "&amp;'WS B ADIT &amp; ITC'!A51&amp;" &amp; ln "&amp;'WS B ADIT &amp; ITC'!A52&amp;".E)"</f>
        <v>(Worksheet B, ln 24 &amp; ln 25.E)</v>
      </c>
      <c r="G95" s="184">
        <f>-'WS B ADIT &amp; ITC'!I51</f>
        <v>0</v>
      </c>
      <c r="H95" s="148"/>
      <c r="I95" s="149" t="s">
        <v>430</v>
      </c>
      <c r="J95" s="150"/>
      <c r="K95" s="135"/>
      <c r="L95" s="184">
        <f>-'WS B ADIT &amp; ITC'!I52</f>
        <v>0</v>
      </c>
      <c r="M95" s="199"/>
      <c r="N95" s="135"/>
      <c r="O95" s="135"/>
    </row>
    <row r="96" spans="2:15">
      <c r="B96" s="136">
        <f t="shared" si="3"/>
        <v>43</v>
      </c>
      <c r="C96" s="178"/>
      <c r="D96" s="131" t="s">
        <v>393</v>
      </c>
      <c r="E96" s="131" t="str">
        <f>"(sum lns "&amp;B91&amp;" to "&amp;B95&amp;")"</f>
        <v>(sum lns 38 to 42)</v>
      </c>
      <c r="F96" s="135"/>
      <c r="G96" s="148">
        <f>SUM(G91:G95)</f>
        <v>-21351040.940000001</v>
      </c>
      <c r="H96" s="41"/>
      <c r="I96" s="149"/>
      <c r="J96" s="158"/>
      <c r="K96" s="135"/>
      <c r="L96" s="148">
        <f>SUM(L91:L95)</f>
        <v>-18305299.734448809</v>
      </c>
      <c r="M96" s="135"/>
      <c r="N96" s="200"/>
    </row>
    <row r="97" spans="2:13">
      <c r="B97" s="136"/>
      <c r="C97" s="137"/>
      <c r="D97" s="131"/>
      <c r="E97" s="135"/>
      <c r="F97" s="135"/>
      <c r="G97" s="148"/>
      <c r="H97" s="41"/>
      <c r="I97" s="149"/>
      <c r="J97" s="195"/>
      <c r="K97" s="135"/>
      <c r="L97" s="148"/>
      <c r="M97" s="135"/>
    </row>
    <row r="98" spans="2:13">
      <c r="B98" s="136">
        <f>+B96+1</f>
        <v>44</v>
      </c>
      <c r="C98" s="137"/>
      <c r="D98" s="131" t="s">
        <v>497</v>
      </c>
      <c r="E98" s="135" t="str">
        <f>"(Worksheet A ln "&amp;'WS A - Rate Base Support'!A69&amp;"."&amp;'WS A - Rate Base Support'!F68 &amp;")"&amp;" ln "&amp;'WS A - Rate Base Support'!A71&amp;"."&amp;'WS A - Rate Base Support'!F68 &amp;")"</f>
        <v>(Worksheet A ln 44.(e)) ln 45.(e))</v>
      </c>
      <c r="F98" s="135"/>
      <c r="G98" s="148">
        <f>'WS A - Rate Base Support'!F69</f>
        <v>0</v>
      </c>
      <c r="H98" s="41"/>
      <c r="I98" s="149" t="s">
        <v>430</v>
      </c>
      <c r="J98" s="150"/>
      <c r="K98" s="135"/>
      <c r="L98" s="148">
        <f>'WS A - Rate Base Support'!F71</f>
        <v>0</v>
      </c>
      <c r="M98" s="135"/>
    </row>
    <row r="99" spans="2:13">
      <c r="B99" s="136"/>
      <c r="C99" s="137"/>
      <c r="D99" s="131"/>
      <c r="E99" s="135"/>
      <c r="F99" s="135"/>
      <c r="G99" s="148"/>
      <c r="H99" s="41"/>
      <c r="I99" s="149"/>
      <c r="J99" s="150"/>
      <c r="K99" s="135"/>
      <c r="L99" s="148"/>
      <c r="M99" s="135"/>
    </row>
    <row r="100" spans="2:13">
      <c r="B100" s="136">
        <f>+B98+1</f>
        <v>45</v>
      </c>
      <c r="C100" s="137"/>
      <c r="D100" s="131" t="s">
        <v>130</v>
      </c>
      <c r="E100" s="135" t="str">
        <f>"(Worksheet A ln "&amp;'WS A - Rate Base Support'!A80&amp;"."&amp;'WS A - Rate Base Support'!F68 &amp;")"</f>
        <v>(Worksheet A ln 51.(e))</v>
      </c>
      <c r="F100" s="135"/>
      <c r="G100" s="148">
        <f>'WS A - Rate Base Support'!F80</f>
        <v>0</v>
      </c>
      <c r="H100" s="41"/>
      <c r="I100" s="149" t="s">
        <v>430</v>
      </c>
      <c r="J100" s="135"/>
      <c r="K100" s="135"/>
      <c r="L100" s="148">
        <f>+G100</f>
        <v>0</v>
      </c>
      <c r="M100" s="135"/>
    </row>
    <row r="101" spans="2:13">
      <c r="B101" s="136"/>
      <c r="C101" s="137"/>
      <c r="D101" s="131"/>
      <c r="E101" s="135"/>
      <c r="F101" s="135"/>
      <c r="G101" s="148"/>
      <c r="H101" s="41"/>
      <c r="I101" s="149"/>
      <c r="J101" s="135"/>
      <c r="K101" s="135"/>
      <c r="L101" s="148"/>
      <c r="M101" s="135"/>
    </row>
    <row r="102" spans="2:13">
      <c r="B102" s="136">
        <f>B100+1</f>
        <v>46</v>
      </c>
      <c r="C102" s="178"/>
      <c r="D102" s="144" t="s">
        <v>636</v>
      </c>
      <c r="E102" s="135" t="s">
        <v>637</v>
      </c>
      <c r="F102" s="135"/>
      <c r="G102" s="148">
        <f>'WS A - Rate Base Support'!F87</f>
        <v>0</v>
      </c>
      <c r="H102" s="148"/>
      <c r="I102" s="149" t="s">
        <v>432</v>
      </c>
      <c r="J102" s="150">
        <f>L235</f>
        <v>1</v>
      </c>
      <c r="K102" s="135"/>
      <c r="L102" s="148">
        <f>+J102*G102</f>
        <v>0</v>
      </c>
      <c r="M102" s="135"/>
    </row>
    <row r="103" spans="2:13">
      <c r="B103" s="136"/>
      <c r="C103" s="137"/>
      <c r="D103" s="131"/>
      <c r="E103" s="135"/>
      <c r="F103" s="135"/>
      <c r="G103" s="148"/>
      <c r="H103" s="41"/>
      <c r="I103" s="149"/>
      <c r="J103" s="135"/>
      <c r="K103" s="135"/>
      <c r="L103" s="148"/>
      <c r="M103" s="135"/>
    </row>
    <row r="104" spans="2:13">
      <c r="B104" s="136">
        <f>+B102+1</f>
        <v>47</v>
      </c>
      <c r="C104" s="137"/>
      <c r="D104" s="131" t="s">
        <v>394</v>
      </c>
      <c r="E104" s="135" t="s">
        <v>294</v>
      </c>
      <c r="F104" s="135"/>
      <c r="G104" s="148"/>
      <c r="H104" s="41"/>
      <c r="I104" s="149"/>
      <c r="J104" s="135"/>
      <c r="K104" s="135"/>
      <c r="L104" s="148"/>
      <c r="M104" s="135"/>
    </row>
    <row r="105" spans="2:13">
      <c r="B105" s="136">
        <f t="shared" ref="B105:B114" si="4">+B104+1</f>
        <v>48</v>
      </c>
      <c r="C105" s="178"/>
      <c r="D105" s="131" t="s">
        <v>496</v>
      </c>
      <c r="E105" s="126" t="str">
        <f>"(1/8 * ln "&amp;B140&amp;")"</f>
        <v>(1/8 * ln 66)</v>
      </c>
      <c r="G105" s="148">
        <f>+G140/8</f>
        <v>198574.66875000001</v>
      </c>
      <c r="H105" s="135"/>
      <c r="I105" s="149"/>
      <c r="J105" s="195"/>
      <c r="K105" s="135"/>
      <c r="L105" s="148">
        <f>+L140/8</f>
        <v>198574.66875000001</v>
      </c>
      <c r="M105" s="131"/>
    </row>
    <row r="106" spans="2:13">
      <c r="B106" s="136">
        <f t="shared" si="4"/>
        <v>49</v>
      </c>
      <c r="C106" s="178"/>
      <c r="D106" s="131" t="s">
        <v>137</v>
      </c>
      <c r="E106" s="135" t="str">
        <f>"(Worksheet C, ln "&amp;'WS C  - Working Capital'!A17&amp;".(F))"</f>
        <v>(Worksheet C, ln 2.(F))</v>
      </c>
      <c r="F106" s="135"/>
      <c r="G106" s="148">
        <f>'WS C  - Working Capital'!I17</f>
        <v>0</v>
      </c>
      <c r="H106" s="41"/>
      <c r="I106" s="149" t="s">
        <v>422</v>
      </c>
      <c r="J106" s="150">
        <f>J140</f>
        <v>1</v>
      </c>
      <c r="K106" s="135"/>
      <c r="L106" s="148">
        <f>+J106*G106</f>
        <v>0</v>
      </c>
      <c r="M106" s="135"/>
    </row>
    <row r="107" spans="2:13">
      <c r="B107" s="136" t="s">
        <v>1042</v>
      </c>
      <c r="C107" s="178"/>
      <c r="D107" s="131" t="s">
        <v>1043</v>
      </c>
      <c r="E107" s="135" t="str">
        <f>"(Worksheet C, ln "&amp;'WS C  - Working Capital'!A19&amp;".(F))"</f>
        <v>(Worksheet C, ln 2a.(F))</v>
      </c>
      <c r="F107" s="135"/>
      <c r="G107" s="148">
        <v>0</v>
      </c>
      <c r="H107" s="98"/>
      <c r="I107" s="149" t="s">
        <v>1031</v>
      </c>
      <c r="J107" s="150">
        <f>$L$224</f>
        <v>1</v>
      </c>
      <c r="K107" s="135"/>
      <c r="L107" s="148">
        <f>+J107*G107</f>
        <v>0</v>
      </c>
      <c r="M107" s="135"/>
    </row>
    <row r="108" spans="2:13">
      <c r="B108" s="136">
        <f>+B106+1</f>
        <v>50</v>
      </c>
      <c r="C108" s="178"/>
      <c r="D108" s="131" t="s">
        <v>138</v>
      </c>
      <c r="E108" s="135" t="str">
        <f>"(Worksheet C, ln "&amp;'WS C  - Working Capital'!A21&amp;".(F))"</f>
        <v>(Worksheet C, ln 3.(F))</v>
      </c>
      <c r="F108" s="135"/>
      <c r="G108" s="148">
        <f>'WS C  - Working Capital'!I21</f>
        <v>0</v>
      </c>
      <c r="H108" s="41"/>
      <c r="I108" s="149" t="s">
        <v>432</v>
      </c>
      <c r="J108" s="150">
        <f>L235</f>
        <v>1</v>
      </c>
      <c r="K108" s="135"/>
      <c r="L108" s="148">
        <f>+J108*G108</f>
        <v>0</v>
      </c>
      <c r="M108" s="135"/>
    </row>
    <row r="109" spans="2:13">
      <c r="B109" s="136">
        <f t="shared" si="4"/>
        <v>51</v>
      </c>
      <c r="C109" s="178"/>
      <c r="D109" s="131" t="s">
        <v>326</v>
      </c>
      <c r="E109" s="135" t="str">
        <f>"(Worksheet C, ln "&amp;'WS C  - Working Capital'!A23&amp;".(F))"</f>
        <v>(Worksheet C, ln 4.(F))</v>
      </c>
      <c r="F109" s="135"/>
      <c r="G109" s="148">
        <f>'WS C  - Working Capital'!I23</f>
        <v>0</v>
      </c>
      <c r="H109" s="41"/>
      <c r="I109" s="149" t="s">
        <v>763</v>
      </c>
      <c r="J109" s="150">
        <f>J70</f>
        <v>1</v>
      </c>
      <c r="K109" s="135"/>
      <c r="L109" s="148">
        <f>+J109*G109</f>
        <v>0</v>
      </c>
      <c r="M109" s="135"/>
    </row>
    <row r="110" spans="2:13">
      <c r="B110" s="136">
        <f t="shared" si="4"/>
        <v>52</v>
      </c>
      <c r="C110" s="178"/>
      <c r="D110" s="131" t="s">
        <v>500</v>
      </c>
      <c r="E110" s="135" t="str">
        <f>"(Worksheet C, ln "&amp;'WS C  - Working Capital'!A33&amp;".(G))"</f>
        <v>(Worksheet C, ln 8.(G))</v>
      </c>
      <c r="F110" s="135"/>
      <c r="G110" s="148">
        <f>'WS C  - Working Capital'!J33</f>
        <v>0</v>
      </c>
      <c r="H110" s="41"/>
      <c r="I110" s="149" t="s">
        <v>432</v>
      </c>
      <c r="J110" s="150">
        <f>L235</f>
        <v>1</v>
      </c>
      <c r="K110" s="135"/>
      <c r="L110" s="148">
        <f>+J110*G110</f>
        <v>0</v>
      </c>
      <c r="M110" s="135"/>
    </row>
    <row r="111" spans="2:13">
      <c r="B111" s="136">
        <f t="shared" si="4"/>
        <v>53</v>
      </c>
      <c r="C111" s="178"/>
      <c r="D111" s="131" t="s">
        <v>501</v>
      </c>
      <c r="E111" s="135" t="str">
        <f>"(Worksheet C, ln "&amp;'WS C  - Working Capital'!A33&amp;".(F))"</f>
        <v>(Worksheet C, ln 8.(F))</v>
      </c>
      <c r="F111" s="135"/>
      <c r="G111" s="148">
        <f>'WS C  - Working Capital'!I33</f>
        <v>30061.5</v>
      </c>
      <c r="H111" s="41"/>
      <c r="I111" s="149" t="s">
        <v>763</v>
      </c>
      <c r="J111" s="150">
        <f>J70</f>
        <v>1</v>
      </c>
      <c r="K111" s="135"/>
      <c r="L111" s="148">
        <f>+G111*J111</f>
        <v>30061.5</v>
      </c>
      <c r="M111" s="135"/>
    </row>
    <row r="112" spans="2:13">
      <c r="B112" s="136">
        <f t="shared" si="4"/>
        <v>54</v>
      </c>
      <c r="C112" s="178"/>
      <c r="D112" s="131" t="s">
        <v>109</v>
      </c>
      <c r="E112" s="135" t="str">
        <f>"(Worksheet C, ln "&amp;'WS C  - Working Capital'!A33&amp;".(E))"</f>
        <v>(Worksheet C, ln 8.(E))</v>
      </c>
      <c r="F112" s="135"/>
      <c r="G112" s="148">
        <f>'WS C  - Working Capital'!G33</f>
        <v>0</v>
      </c>
      <c r="H112" s="41"/>
      <c r="I112" s="149" t="s">
        <v>430</v>
      </c>
      <c r="J112" s="150">
        <v>1</v>
      </c>
      <c r="K112" s="135"/>
      <c r="L112" s="148">
        <f>+G112</f>
        <v>0</v>
      </c>
      <c r="M112" s="135"/>
    </row>
    <row r="113" spans="2:15" ht="15.75" thickBot="1">
      <c r="B113" s="136">
        <f t="shared" si="4"/>
        <v>55</v>
      </c>
      <c r="C113" s="178"/>
      <c r="D113" s="131" t="s">
        <v>406</v>
      </c>
      <c r="E113" s="135" t="str">
        <f>"(Worksheet C, ln "&amp;'WS C  - Working Capital'!A33&amp;".(D))"</f>
        <v>(Worksheet C, ln 8.(D))</v>
      </c>
      <c r="F113" s="135"/>
      <c r="G113" s="184">
        <f>'WS C  - Working Capital'!E33</f>
        <v>0</v>
      </c>
      <c r="H113" s="148"/>
      <c r="I113" s="149" t="s">
        <v>428</v>
      </c>
      <c r="J113" s="150">
        <v>0</v>
      </c>
      <c r="K113" s="135"/>
      <c r="L113" s="184">
        <f>+G113*J113</f>
        <v>0</v>
      </c>
      <c r="M113" s="135"/>
    </row>
    <row r="114" spans="2:15">
      <c r="B114" s="136">
        <f t="shared" si="4"/>
        <v>56</v>
      </c>
      <c r="C114" s="178"/>
      <c r="D114" s="131" t="s">
        <v>378</v>
      </c>
      <c r="E114" s="131" t="str">
        <f>"(sum lns "&amp;B105&amp;" to "&amp;B113&amp;")"</f>
        <v>(sum lns 48 to 55)</v>
      </c>
      <c r="F114" s="131"/>
      <c r="G114" s="148">
        <f>SUM(G105:G113)</f>
        <v>228636.16875000001</v>
      </c>
      <c r="H114" s="131"/>
      <c r="I114" s="137"/>
      <c r="J114" s="131"/>
      <c r="K114" s="131"/>
      <c r="L114" s="148">
        <f>SUM(L105:L113)</f>
        <v>228636.16875000001</v>
      </c>
      <c r="M114" s="131"/>
    </row>
    <row r="115" spans="2:15">
      <c r="B115" s="136"/>
      <c r="C115" s="137"/>
      <c r="D115" s="131"/>
      <c r="E115" s="131"/>
      <c r="F115" s="131"/>
      <c r="G115" s="148"/>
      <c r="H115" s="131"/>
      <c r="I115" s="137"/>
      <c r="J115" s="131"/>
      <c r="K115" s="131"/>
      <c r="L115" s="148"/>
      <c r="M115" s="131"/>
    </row>
    <row r="116" spans="2:15">
      <c r="B116" s="136">
        <f>+B114+1</f>
        <v>57</v>
      </c>
      <c r="C116" s="137"/>
      <c r="D116" s="131" t="s">
        <v>366</v>
      </c>
      <c r="E116" s="131" t="str">
        <f>"(Note F) (Worksheet D, ln "&amp;'WS D IPP Credits'!A23&amp;".B)"</f>
        <v>(Note F) (Worksheet D, ln 8.B)</v>
      </c>
      <c r="F116" s="131"/>
      <c r="G116" s="148">
        <f>+'WS D IPP Credits'!C23</f>
        <v>0</v>
      </c>
      <c r="H116" s="131"/>
      <c r="I116" s="201" t="s">
        <v>430</v>
      </c>
      <c r="J116" s="150">
        <v>1</v>
      </c>
      <c r="K116" s="135"/>
      <c r="L116" s="148">
        <f>+J116*G116</f>
        <v>0</v>
      </c>
      <c r="M116" s="131"/>
    </row>
    <row r="117" spans="2:15" ht="15.75" thickBot="1">
      <c r="B117" s="136"/>
      <c r="E117" s="135"/>
      <c r="F117" s="135"/>
      <c r="G117" s="184"/>
      <c r="H117" s="135"/>
      <c r="I117" s="149"/>
      <c r="J117" s="135"/>
      <c r="K117" s="135"/>
      <c r="L117" s="184"/>
      <c r="M117" s="135"/>
    </row>
    <row r="118" spans="2:15" ht="15.75" thickBot="1">
      <c r="B118" s="136">
        <f>+B116+1</f>
        <v>58</v>
      </c>
      <c r="C118" s="137"/>
      <c r="D118" s="131" t="str">
        <f>"RATE BASE  (sum lns "&amp;B87&amp;", "&amp;B96&amp;", "&amp;B98&amp;", "&amp;B100&amp;", "&amp;B102&amp;", "&amp;B114&amp;", "&amp;B116&amp;")"</f>
        <v>RATE BASE  (sum lns 36, 43, 44, 45, 46, 56, 57)</v>
      </c>
      <c r="E118" s="135"/>
      <c r="F118" s="135"/>
      <c r="G118" s="202">
        <f>+G114+G98+G96+G87+G116+G100+G102</f>
        <v>130571113.72105765</v>
      </c>
      <c r="H118" s="135"/>
      <c r="I118" s="135"/>
      <c r="J118" s="195"/>
      <c r="K118" s="135"/>
      <c r="L118" s="202">
        <f>+L114+L98+L96+L87+L116+L100+L102</f>
        <v>133616854.92660886</v>
      </c>
      <c r="M118" s="135"/>
    </row>
    <row r="119" spans="2:15" ht="16.5" thickTop="1">
      <c r="B119" s="136"/>
      <c r="C119" s="41"/>
      <c r="D119" s="41"/>
      <c r="E119" s="41"/>
      <c r="F119" s="41"/>
      <c r="G119" s="41"/>
      <c r="H119" s="41"/>
      <c r="I119" s="129"/>
      <c r="J119" s="129"/>
      <c r="K119" s="129"/>
    </row>
    <row r="120" spans="2:15">
      <c r="B120" s="203"/>
      <c r="C120" s="137"/>
      <c r="D120" s="131"/>
      <c r="E120" s="135"/>
      <c r="F120" s="135"/>
      <c r="G120" s="135"/>
      <c r="H120" s="135"/>
      <c r="I120" s="135"/>
      <c r="J120" s="135"/>
      <c r="K120" s="135"/>
      <c r="L120" s="135"/>
      <c r="M120" s="135"/>
    </row>
    <row r="121" spans="2:15">
      <c r="B121" s="203"/>
      <c r="C121" s="137"/>
      <c r="D121" s="131"/>
      <c r="E121" s="135"/>
      <c r="F121" s="149" t="str">
        <f>F51</f>
        <v>AEPTCo subsidiaries in PJM</v>
      </c>
      <c r="G121" s="149"/>
      <c r="H121" s="135"/>
      <c r="I121" s="135"/>
      <c r="J121" s="135"/>
      <c r="K121" s="135"/>
      <c r="L121" s="135"/>
      <c r="M121" s="204"/>
    </row>
    <row r="122" spans="2:15">
      <c r="B122" s="203"/>
      <c r="C122" s="137"/>
      <c r="D122" s="131"/>
      <c r="E122" s="135"/>
      <c r="F122" s="149" t="str">
        <f>F52</f>
        <v>Transmission Cost of Service Formula Rate</v>
      </c>
      <c r="G122" s="149"/>
      <c r="H122" s="135"/>
      <c r="I122" s="135"/>
      <c r="J122" s="135"/>
      <c r="K122" s="135"/>
      <c r="L122" s="135"/>
      <c r="M122" s="204"/>
    </row>
    <row r="123" spans="2:15">
      <c r="B123" s="203"/>
      <c r="C123" s="137"/>
      <c r="E123" s="135"/>
      <c r="F123" s="149" t="str">
        <f>F53</f>
        <v>Utilizing  Actual/Projected FERC Form 1 Data</v>
      </c>
      <c r="G123" s="135"/>
      <c r="H123" s="135"/>
      <c r="I123" s="135"/>
      <c r="J123" s="135"/>
      <c r="K123" s="135"/>
      <c r="L123" s="135"/>
      <c r="M123" s="166"/>
    </row>
    <row r="124" spans="2:15">
      <c r="B124" s="203"/>
      <c r="C124" s="137"/>
      <c r="E124" s="135"/>
      <c r="F124" s="149"/>
      <c r="G124" s="135"/>
      <c r="H124" s="135"/>
      <c r="I124" s="135"/>
      <c r="J124" s="135"/>
      <c r="K124" s="135"/>
      <c r="L124" s="135"/>
      <c r="M124" s="135"/>
    </row>
    <row r="125" spans="2:15">
      <c r="B125" s="203"/>
      <c r="C125" s="137"/>
      <c r="E125" s="205"/>
      <c r="F125" s="149" t="str">
        <f>F55</f>
        <v>AEP Kentucky Transmission Company</v>
      </c>
      <c r="G125" s="205"/>
      <c r="H125" s="205"/>
      <c r="I125" s="205"/>
      <c r="J125" s="205"/>
      <c r="K125" s="205"/>
      <c r="M125" s="135"/>
    </row>
    <row r="126" spans="2:15">
      <c r="B126" s="203"/>
      <c r="C126" s="137"/>
      <c r="E126" s="205"/>
      <c r="F126" s="149"/>
      <c r="G126" s="205"/>
      <c r="H126" s="205"/>
      <c r="I126" s="205"/>
      <c r="J126" s="205"/>
      <c r="K126" s="205"/>
      <c r="M126" s="135"/>
    </row>
    <row r="127" spans="2:15">
      <c r="B127" s="203"/>
      <c r="D127" s="137" t="s">
        <v>423</v>
      </c>
      <c r="E127" s="137" t="s">
        <v>424</v>
      </c>
      <c r="F127" s="137"/>
      <c r="G127" s="137" t="s">
        <v>425</v>
      </c>
      <c r="H127" s="135"/>
      <c r="I127" s="1123" t="s">
        <v>426</v>
      </c>
      <c r="J127" s="1127"/>
      <c r="K127" s="135"/>
      <c r="L127" s="138" t="s">
        <v>427</v>
      </c>
      <c r="M127" s="135"/>
      <c r="N127" s="138"/>
    </row>
    <row r="128" spans="2:15" ht="15.75">
      <c r="B128" s="203"/>
      <c r="D128" s="137"/>
      <c r="E128" s="137"/>
      <c r="F128" s="137"/>
      <c r="G128" s="137"/>
      <c r="H128" s="135"/>
      <c r="I128" s="135"/>
      <c r="J128" s="168"/>
      <c r="K128" s="135"/>
      <c r="M128" s="135"/>
      <c r="N128" s="206"/>
      <c r="O128" s="129"/>
    </row>
    <row r="129" spans="2:15" ht="15.75">
      <c r="B129" s="203"/>
      <c r="C129" s="137"/>
      <c r="D129" s="206" t="s">
        <v>402</v>
      </c>
      <c r="E129" s="170" t="str">
        <f>E59</f>
        <v>Data Sources</v>
      </c>
      <c r="F129" s="171"/>
      <c r="G129" s="135"/>
      <c r="H129" s="135"/>
      <c r="I129" s="135"/>
      <c r="J129" s="137"/>
      <c r="K129" s="135"/>
      <c r="L129" s="170" t="str">
        <f>L59</f>
        <v>Total</v>
      </c>
      <c r="N129" s="206"/>
      <c r="O129" s="129"/>
    </row>
    <row r="130" spans="2:15" ht="15.75">
      <c r="B130" s="203"/>
      <c r="C130" s="137"/>
      <c r="D130" s="173" t="s">
        <v>403</v>
      </c>
      <c r="E130" s="207" t="str">
        <f>E60</f>
        <v>(See "General Notes")</v>
      </c>
      <c r="F130" s="135"/>
      <c r="G130" s="207" t="str">
        <f>G60</f>
        <v>TO Total</v>
      </c>
      <c r="H130" s="175"/>
      <c r="I130" s="1125" t="str">
        <f>I60</f>
        <v>Allocator</v>
      </c>
      <c r="J130" s="1126"/>
      <c r="K130" s="175"/>
      <c r="L130" s="207" t="str">
        <f>L60</f>
        <v>Transmission</v>
      </c>
      <c r="M130" s="135"/>
      <c r="N130" s="206"/>
      <c r="O130" s="129"/>
    </row>
    <row r="131" spans="2:15" ht="15.75">
      <c r="B131" s="136" t="str">
        <f>B61</f>
        <v>Line</v>
      </c>
      <c r="D131" s="131"/>
      <c r="E131" s="135"/>
      <c r="F131" s="135"/>
      <c r="G131" s="173"/>
      <c r="H131" s="208"/>
      <c r="I131" s="206"/>
      <c r="K131" s="208"/>
      <c r="L131" s="173"/>
      <c r="M131" s="135"/>
    </row>
    <row r="132" spans="2:15">
      <c r="B132" s="136" t="str">
        <f>B62</f>
        <v>No.</v>
      </c>
      <c r="C132" s="137"/>
      <c r="D132" s="131" t="s">
        <v>404</v>
      </c>
      <c r="E132" s="135"/>
      <c r="F132" s="135"/>
      <c r="G132" s="135"/>
      <c r="H132" s="135"/>
      <c r="I132" s="149"/>
      <c r="J132" s="135"/>
      <c r="K132" s="135"/>
      <c r="L132" s="135"/>
      <c r="M132" s="135"/>
    </row>
    <row r="133" spans="2:15">
      <c r="B133" s="136">
        <f>+B118+1</f>
        <v>59</v>
      </c>
      <c r="C133" s="137"/>
      <c r="D133" s="131" t="s">
        <v>32</v>
      </c>
      <c r="E133" s="135" t="s">
        <v>494</v>
      </c>
      <c r="F133" s="135"/>
      <c r="G133" s="115">
        <v>0</v>
      </c>
      <c r="H133" s="135"/>
      <c r="I133" s="149"/>
      <c r="J133" s="150"/>
      <c r="K133" s="135"/>
      <c r="L133" s="148"/>
      <c r="M133" s="135"/>
    </row>
    <row r="134" spans="2:15">
      <c r="B134" s="136">
        <f t="shared" ref="B134:B140" si="5">+B133+1</f>
        <v>60</v>
      </c>
      <c r="C134" s="137"/>
      <c r="D134" s="131" t="s">
        <v>45</v>
      </c>
      <c r="E134" s="135" t="s">
        <v>206</v>
      </c>
      <c r="F134" s="135"/>
      <c r="G134" s="115">
        <v>0</v>
      </c>
      <c r="H134" s="135"/>
      <c r="I134" s="149"/>
      <c r="J134" s="150"/>
      <c r="K134" s="135"/>
      <c r="L134" s="148"/>
      <c r="M134" s="135"/>
    </row>
    <row r="135" spans="2:15" ht="15.75" thickBot="1">
      <c r="B135" s="136">
        <f t="shared" si="5"/>
        <v>61</v>
      </c>
      <c r="C135" s="137"/>
      <c r="D135" s="131" t="s">
        <v>435</v>
      </c>
      <c r="E135" s="135" t="s">
        <v>205</v>
      </c>
      <c r="F135" s="135"/>
      <c r="G135" s="113">
        <v>1727017</v>
      </c>
      <c r="H135" s="209"/>
      <c r="I135" s="41"/>
      <c r="J135" s="41"/>
      <c r="K135"/>
      <c r="L135"/>
      <c r="M135" s="131"/>
      <c r="N135" s="135"/>
      <c r="O135" s="135"/>
    </row>
    <row r="136" spans="2:15">
      <c r="B136" s="136">
        <f t="shared" si="5"/>
        <v>62</v>
      </c>
      <c r="C136" s="137"/>
      <c r="D136" s="131" t="s">
        <v>46</v>
      </c>
      <c r="E136" s="135" t="str">
        <f>"(sum lns "&amp;B133&amp;"  to "&amp;B135&amp;")"</f>
        <v>(sum lns 59  to 61)</v>
      </c>
      <c r="F136" s="135"/>
      <c r="G136" s="148">
        <f>SUM(G133:G135)</f>
        <v>1727017</v>
      </c>
      <c r="H136" s="148"/>
      <c r="I136" s="41"/>
      <c r="J136" s="41"/>
      <c r="K136"/>
      <c r="L136"/>
      <c r="M136" s="131"/>
      <c r="N136" s="135"/>
      <c r="O136" s="135"/>
    </row>
    <row r="137" spans="2:15">
      <c r="B137" s="136">
        <f t="shared" si="5"/>
        <v>63</v>
      </c>
      <c r="C137" s="137"/>
      <c r="D137" s="131" t="s">
        <v>131</v>
      </c>
      <c r="E137" s="135" t="str">
        <f>"(Note G) (Worksheet F, ln "&amp;'WS F Misc Exp'!A33&amp;".C)"</f>
        <v>(Note G) (Worksheet F, ln 14.C)</v>
      </c>
      <c r="F137" s="135"/>
      <c r="G137" s="148">
        <f>+'WS F Misc Exp'!D33</f>
        <v>138419.65</v>
      </c>
      <c r="H137" s="148"/>
      <c r="I137" s="41"/>
      <c r="J137" s="41"/>
      <c r="K137"/>
      <c r="L137"/>
      <c r="M137" s="131"/>
      <c r="N137" s="135"/>
      <c r="O137" s="135"/>
    </row>
    <row r="138" spans="2:15">
      <c r="B138" s="136">
        <f t="shared" si="5"/>
        <v>64</v>
      </c>
      <c r="C138" s="137"/>
      <c r="D138" s="131" t="s">
        <v>360</v>
      </c>
      <c r="E138" s="135" t="s">
        <v>401</v>
      </c>
      <c r="F138" s="135"/>
      <c r="G138" s="117">
        <v>0</v>
      </c>
      <c r="H138" s="148"/>
      <c r="I138" s="41"/>
      <c r="J138" s="41"/>
      <c r="K138"/>
      <c r="L138"/>
      <c r="M138" s="131"/>
      <c r="N138" s="135"/>
      <c r="O138" s="135"/>
    </row>
    <row r="139" spans="2:15" ht="15.75" thickBot="1">
      <c r="B139" s="136">
        <f t="shared" si="5"/>
        <v>65</v>
      </c>
      <c r="C139" s="137"/>
      <c r="D139" s="131" t="s">
        <v>135</v>
      </c>
      <c r="E139" s="135" t="str">
        <f>"(Note I) (Worksheet F, ln "&amp;'WS F Misc Exp'!A21&amp;".C)"</f>
        <v>(Note I) (Worksheet F, ln 4.C)</v>
      </c>
      <c r="F139" s="135"/>
      <c r="G139" s="184">
        <f>+'WS F Misc Exp'!D21</f>
        <v>0</v>
      </c>
      <c r="H139" s="148"/>
      <c r="I139" s="41"/>
      <c r="J139" s="41"/>
      <c r="K139"/>
      <c r="L139"/>
      <c r="M139" s="131"/>
      <c r="N139" s="135"/>
      <c r="O139" s="135"/>
    </row>
    <row r="140" spans="2:15">
      <c r="B140" s="136">
        <f t="shared" si="5"/>
        <v>66</v>
      </c>
      <c r="C140" s="137"/>
      <c r="D140" s="131" t="s">
        <v>202</v>
      </c>
      <c r="E140" s="135" t="str">
        <f>"(lns "&amp;B135&amp;" - "&amp;B137&amp;" - "&amp;B138&amp;" - "&amp;B139&amp;")"</f>
        <v>(lns 61 - 63 - 64 - 65)</v>
      </c>
      <c r="F140" s="131"/>
      <c r="G140" s="148">
        <f>G135-G137-G138-G139</f>
        <v>1588597.35</v>
      </c>
      <c r="H140" s="135"/>
      <c r="I140" s="149" t="s">
        <v>422</v>
      </c>
      <c r="J140" s="150">
        <f>L217</f>
        <v>1</v>
      </c>
      <c r="K140" s="135"/>
      <c r="L140" s="148">
        <f>+J140*G140</f>
        <v>1588597.35</v>
      </c>
      <c r="M140" s="131"/>
      <c r="N140" s="135"/>
      <c r="O140" s="135"/>
    </row>
    <row r="141" spans="2:15">
      <c r="B141" s="136"/>
      <c r="C141" s="137"/>
      <c r="D141" s="131"/>
      <c r="E141" s="135"/>
      <c r="F141" s="135"/>
      <c r="G141" s="41"/>
      <c r="H141" s="148"/>
      <c r="I141" s="41"/>
      <c r="J141" s="41"/>
      <c r="K141"/>
      <c r="L141"/>
      <c r="M141" s="131"/>
      <c r="N141" s="135"/>
      <c r="O141" s="135"/>
    </row>
    <row r="142" spans="2:15">
      <c r="B142" s="136">
        <f>+B140+1</f>
        <v>67</v>
      </c>
      <c r="C142" s="137"/>
      <c r="D142" s="131" t="s">
        <v>405</v>
      </c>
      <c r="E142" s="135" t="s">
        <v>760</v>
      </c>
      <c r="F142" s="135"/>
      <c r="G142" s="117">
        <v>958309</v>
      </c>
      <c r="H142" s="209" t="s">
        <v>416</v>
      </c>
      <c r="I142" s="192"/>
      <c r="J142" s="192"/>
      <c r="K142" s="135"/>
      <c r="L142" s="148"/>
      <c r="M142" s="135"/>
      <c r="N142" s="135"/>
      <c r="O142" s="135"/>
    </row>
    <row r="143" spans="2:15">
      <c r="B143" s="136">
        <f t="shared" ref="B143:B149" si="6">+B142+1</f>
        <v>68</v>
      </c>
      <c r="C143" s="137"/>
      <c r="D143" s="131" t="s">
        <v>133</v>
      </c>
      <c r="E143" s="135" t="s">
        <v>207</v>
      </c>
      <c r="F143" s="135"/>
      <c r="G143" s="117">
        <v>35877.480000000003</v>
      </c>
      <c r="H143" s="148"/>
      <c r="I143" s="192"/>
      <c r="J143" s="131"/>
      <c r="K143" s="135"/>
      <c r="L143" s="148"/>
      <c r="M143"/>
      <c r="N143" s="135"/>
      <c r="O143" s="135"/>
    </row>
    <row r="144" spans="2:15">
      <c r="B144" s="136">
        <f t="shared" si="6"/>
        <v>69</v>
      </c>
      <c r="C144" s="137"/>
      <c r="D144" s="131" t="s">
        <v>132</v>
      </c>
      <c r="E144" s="135" t="s">
        <v>397</v>
      </c>
      <c r="F144" s="135"/>
      <c r="G144" s="117">
        <f>'WS F Misc Exp'!D44</f>
        <v>3381.7799999999997</v>
      </c>
      <c r="H144" s="148"/>
      <c r="I144" s="192"/>
      <c r="J144" s="1104"/>
      <c r="K144" s="135"/>
      <c r="L144" s="148"/>
      <c r="M144" s="135"/>
      <c r="N144" s="135"/>
      <c r="O144" s="135"/>
    </row>
    <row r="145" spans="2:15">
      <c r="B145" s="136">
        <f t="shared" si="6"/>
        <v>70</v>
      </c>
      <c r="C145" s="137"/>
      <c r="D145" s="131" t="s">
        <v>409</v>
      </c>
      <c r="E145" s="135" t="s">
        <v>398</v>
      </c>
      <c r="F145" s="135"/>
      <c r="G145" s="117">
        <f>'WS F Misc Exp'!D64</f>
        <v>56.22</v>
      </c>
      <c r="H145" s="148"/>
      <c r="I145" s="192"/>
      <c r="J145" s="192"/>
      <c r="K145" s="135"/>
      <c r="L145" s="148"/>
      <c r="M145" s="135"/>
      <c r="N145" s="135"/>
      <c r="O145" s="135"/>
    </row>
    <row r="146" spans="2:15">
      <c r="B146" s="136">
        <f t="shared" si="6"/>
        <v>71</v>
      </c>
      <c r="C146" s="137"/>
      <c r="D146" s="131" t="s">
        <v>134</v>
      </c>
      <c r="E146" s="135" t="s">
        <v>399</v>
      </c>
      <c r="F146" s="135"/>
      <c r="G146" s="117">
        <f>'WS F Misc Exp'!D73</f>
        <v>63628.125</v>
      </c>
      <c r="H146" s="148"/>
      <c r="I146" s="192"/>
      <c r="J146" s="192"/>
      <c r="K146" s="135"/>
      <c r="L146" s="148"/>
      <c r="M146" s="135"/>
      <c r="N146" s="135"/>
      <c r="O146" s="135"/>
    </row>
    <row r="147" spans="2:15">
      <c r="B147" s="136">
        <f>+B146+1</f>
        <v>72</v>
      </c>
      <c r="C147" s="137"/>
      <c r="D147" s="131" t="s">
        <v>410</v>
      </c>
      <c r="E147" s="135" t="str">
        <f>"(ln "&amp;B142&amp;" - sum ln "&amp;B143&amp;"  to ln "&amp;B146&amp;")"</f>
        <v>(ln 67 - sum ln 68  to ln 71)</v>
      </c>
      <c r="F147" s="135"/>
      <c r="G147" s="148">
        <f>G142-SUM(G143:G146)</f>
        <v>855365.39500000002</v>
      </c>
      <c r="H147" s="148"/>
      <c r="I147" s="149" t="s">
        <v>432</v>
      </c>
      <c r="J147" s="150">
        <f>L235</f>
        <v>1</v>
      </c>
      <c r="K147" s="135"/>
      <c r="L147" s="148">
        <f>+J147*G147</f>
        <v>855365.39500000002</v>
      </c>
      <c r="M147" s="135"/>
      <c r="N147" s="135"/>
      <c r="O147" s="135"/>
    </row>
    <row r="148" spans="2:15">
      <c r="B148" s="136">
        <f t="shared" si="6"/>
        <v>73</v>
      </c>
      <c r="C148" s="137"/>
      <c r="D148" s="131" t="s">
        <v>489</v>
      </c>
      <c r="E148" s="135" t="str">
        <f>"(ln "&amp;B143&amp;")"</f>
        <v>(ln 68)</v>
      </c>
      <c r="F148" s="135"/>
      <c r="G148" s="148">
        <f>+G143</f>
        <v>35877.480000000003</v>
      </c>
      <c r="H148" s="148"/>
      <c r="I148" s="160" t="s">
        <v>635</v>
      </c>
      <c r="J148" s="150">
        <f>J70</f>
        <v>1</v>
      </c>
      <c r="K148" s="135"/>
      <c r="L148" s="148">
        <f>+J148*G148</f>
        <v>35877.480000000003</v>
      </c>
      <c r="M148" s="135"/>
      <c r="N148" s="135"/>
      <c r="O148" s="135"/>
    </row>
    <row r="149" spans="2:15">
      <c r="B149" s="136">
        <f t="shared" si="6"/>
        <v>74</v>
      </c>
      <c r="C149" s="137"/>
      <c r="D149" s="131" t="s">
        <v>1</v>
      </c>
      <c r="E149" s="135" t="str">
        <f>"Worksheet F ln "&amp;'WS F Misc Exp'!A44&amp;".(E) (Note L)"</f>
        <v>Worksheet F ln 21.(E) (Note L)</v>
      </c>
      <c r="F149" s="135"/>
      <c r="G149" s="148">
        <f>+'WS F Misc Exp'!F44</f>
        <v>3457.29</v>
      </c>
      <c r="H149" s="148"/>
      <c r="I149" s="149" t="s">
        <v>422</v>
      </c>
      <c r="J149" s="150">
        <f>L217</f>
        <v>1</v>
      </c>
      <c r="K149" s="135"/>
      <c r="L149" s="148">
        <f>J149*G149</f>
        <v>3457.29</v>
      </c>
      <c r="M149" s="135"/>
      <c r="N149" s="135"/>
      <c r="O149" s="135"/>
    </row>
    <row r="150" spans="2:15">
      <c r="B150" s="136">
        <f>B149+1</f>
        <v>75</v>
      </c>
      <c r="C150" s="137"/>
      <c r="D150" s="131" t="s">
        <v>25</v>
      </c>
      <c r="E150" s="135" t="str">
        <f>"Worksheet F ln "&amp;'WS F Misc Exp'!A64&amp;".(E) (Note L)"</f>
        <v>Worksheet F ln 38.(E) (Note L)</v>
      </c>
      <c r="F150" s="135"/>
      <c r="G150" s="148">
        <f>+'WS F Misc Exp'!F64</f>
        <v>0</v>
      </c>
      <c r="H150" s="135"/>
      <c r="I150" s="149" t="s">
        <v>422</v>
      </c>
      <c r="J150" s="150">
        <f>L217</f>
        <v>1</v>
      </c>
      <c r="K150" s="135"/>
      <c r="L150" s="148">
        <f>+J150*G150</f>
        <v>0</v>
      </c>
      <c r="M150" s="135"/>
      <c r="N150" s="135"/>
      <c r="O150" s="135"/>
    </row>
    <row r="151" spans="2:15">
      <c r="B151" s="136">
        <f>+B150+1</f>
        <v>76</v>
      </c>
      <c r="C151" s="137"/>
      <c r="D151" s="131" t="s">
        <v>26</v>
      </c>
      <c r="E151" s="135" t="str">
        <f>"Worksheet F ln "&amp;'WS F Misc Exp'!A73&amp;".(E) (Note L)"</f>
        <v>Worksheet F ln 44.(E) (Note L)</v>
      </c>
      <c r="F151" s="135"/>
      <c r="G151" s="148">
        <f>+'WS F Misc Exp'!F73</f>
        <v>-4.53</v>
      </c>
      <c r="H151" s="210"/>
      <c r="I151" s="149" t="s">
        <v>430</v>
      </c>
      <c r="J151" s="150">
        <v>1</v>
      </c>
      <c r="K151" s="135"/>
      <c r="L151" s="148">
        <f>+J151*G151</f>
        <v>-4.53</v>
      </c>
      <c r="M151" s="135"/>
      <c r="N151" s="135"/>
      <c r="O151" s="135"/>
    </row>
    <row r="152" spans="2:15">
      <c r="B152" s="136">
        <f>+B151+1</f>
        <v>77</v>
      </c>
      <c r="C152" s="137"/>
      <c r="D152" s="953" t="s">
        <v>796</v>
      </c>
      <c r="E152" s="135" t="str">
        <f>"Worksheet O Ln "&amp;'Worksheet O'!A33&amp;"."&amp;'Worksheet O'!D11&amp;", (Note K &amp; M)"</f>
        <v>Worksheet O Ln 16.(B), (Note K &amp; M)</v>
      </c>
      <c r="F152" s="135"/>
      <c r="G152" s="148">
        <f>'Worksheet O'!D33</f>
        <v>-3182.8483116138268</v>
      </c>
      <c r="H152" s="210"/>
      <c r="I152" s="149" t="s">
        <v>432</v>
      </c>
      <c r="J152" s="150">
        <f>L235</f>
        <v>1</v>
      </c>
      <c r="K152" s="135"/>
      <c r="L152" s="148">
        <f>+J152*G152</f>
        <v>-3182.8483116138268</v>
      </c>
      <c r="M152" s="135"/>
      <c r="N152" s="135"/>
      <c r="O152" s="135"/>
    </row>
    <row r="153" spans="2:15" ht="15.75" thickBot="1">
      <c r="B153" s="136" t="s">
        <v>1044</v>
      </c>
      <c r="C153" s="137"/>
      <c r="D153" s="131" t="s">
        <v>1029</v>
      </c>
      <c r="E153" s="135" t="s">
        <v>1045</v>
      </c>
      <c r="F153" s="135"/>
      <c r="G153" s="113">
        <v>0</v>
      </c>
      <c r="H153" s="210"/>
      <c r="I153" s="149" t="s">
        <v>1031</v>
      </c>
      <c r="J153" s="150">
        <f>$L$224</f>
        <v>1</v>
      </c>
      <c r="K153" s="135"/>
      <c r="L153" s="184">
        <f>+J153*G153</f>
        <v>0</v>
      </c>
      <c r="M153" s="135"/>
      <c r="N153" s="135"/>
      <c r="O153" s="135"/>
    </row>
    <row r="154" spans="2:15">
      <c r="B154" s="136">
        <f>+B152+1</f>
        <v>78</v>
      </c>
      <c r="C154" s="137"/>
      <c r="D154" s="131" t="s">
        <v>411</v>
      </c>
      <c r="E154" s="135" t="str">
        <f>"(sum lns "&amp;B147&amp;"  to "&amp;B152&amp;")"</f>
        <v>(sum lns 72  to 77)</v>
      </c>
      <c r="F154" s="135"/>
      <c r="G154" s="148">
        <f>SUM(G147:G153)</f>
        <v>891512.78668838623</v>
      </c>
      <c r="H154" s="148"/>
      <c r="I154" s="149"/>
      <c r="J154" s="192"/>
      <c r="K154" s="135"/>
      <c r="L154" s="148">
        <f>SUM(L147:L153)</f>
        <v>891512.78668838623</v>
      </c>
      <c r="M154" s="135"/>
      <c r="N154" s="148"/>
      <c r="O154" s="135"/>
    </row>
    <row r="155" spans="2:15" ht="15.75" thickBot="1">
      <c r="B155" s="136"/>
      <c r="C155" s="137"/>
      <c r="D155" s="131"/>
      <c r="E155" s="135"/>
      <c r="F155" s="135"/>
      <c r="G155" s="184"/>
      <c r="H155" s="135"/>
      <c r="I155" s="149"/>
      <c r="J155" s="192"/>
      <c r="K155" s="135"/>
      <c r="L155" s="184"/>
      <c r="M155" s="135"/>
      <c r="N155" s="135"/>
      <c r="O155" s="135"/>
    </row>
    <row r="156" spans="2:15">
      <c r="B156" s="136">
        <f>+B154+1</f>
        <v>79</v>
      </c>
      <c r="C156" s="137"/>
      <c r="D156" s="131" t="s">
        <v>204</v>
      </c>
      <c r="E156" s="135" t="str">
        <f>"(ln "&amp;B140&amp;" + ln "&amp;B154&amp;")"</f>
        <v>(ln 66 + ln 78)</v>
      </c>
      <c r="F156" s="135"/>
      <c r="G156" s="148">
        <f>+G140+G154</f>
        <v>2480110.1366883861</v>
      </c>
      <c r="H156" s="148"/>
      <c r="I156" s="149"/>
      <c r="J156" s="135"/>
      <c r="K156" s="135"/>
      <c r="L156" s="148">
        <f>L140+L154</f>
        <v>2480110.1366883861</v>
      </c>
      <c r="M156" s="135"/>
      <c r="N156" s="135"/>
      <c r="O156" s="135"/>
    </row>
    <row r="157" spans="2:15" ht="15.75" thickBot="1">
      <c r="B157" s="196">
        <f>+B156+1</f>
        <v>80</v>
      </c>
      <c r="C157" s="137"/>
      <c r="D157" s="131" t="s">
        <v>280</v>
      </c>
      <c r="E157" s="131"/>
      <c r="F157" s="135"/>
      <c r="G157" s="113"/>
      <c r="H157" s="148"/>
      <c r="I157" s="149" t="s">
        <v>430</v>
      </c>
      <c r="J157" s="150">
        <f>J63</f>
        <v>1</v>
      </c>
      <c r="K157" s="135"/>
      <c r="L157" s="184">
        <f>J157*G157</f>
        <v>0</v>
      </c>
      <c r="M157" s="135"/>
      <c r="N157" s="135"/>
      <c r="O157" s="135"/>
    </row>
    <row r="158" spans="2:15">
      <c r="B158" s="136">
        <f>+B157+1</f>
        <v>81</v>
      </c>
      <c r="C158" s="137"/>
      <c r="D158" s="131" t="s">
        <v>412</v>
      </c>
      <c r="E158" s="135" t="str">
        <f>"(ln "&amp;B156&amp;" + ln "&amp;B157&amp;")"</f>
        <v>(ln 79 + ln 80)</v>
      </c>
      <c r="F158" s="135"/>
      <c r="G158" s="148">
        <f>+G156+G157</f>
        <v>2480110.1366883861</v>
      </c>
      <c r="H158" s="148"/>
      <c r="I158" s="149"/>
      <c r="J158" s="135"/>
      <c r="K158" s="135"/>
      <c r="L158" s="148">
        <f>+L156+L157</f>
        <v>2480110.1366883861</v>
      </c>
      <c r="M158" s="135"/>
      <c r="N158" s="135"/>
      <c r="O158" s="135"/>
    </row>
    <row r="159" spans="2:15">
      <c r="B159" s="136"/>
      <c r="C159" s="137"/>
      <c r="D159" s="131"/>
      <c r="E159" s="135"/>
      <c r="F159" s="135"/>
      <c r="G159" s="148"/>
      <c r="H159" s="135"/>
      <c r="I159" s="135"/>
      <c r="J159" s="135"/>
      <c r="K159" s="135"/>
      <c r="L159" s="148"/>
      <c r="M159" s="135"/>
      <c r="N159" s="135"/>
      <c r="O159" s="135"/>
    </row>
    <row r="160" spans="2:15">
      <c r="B160" s="136">
        <f>+B158+1</f>
        <v>82</v>
      </c>
      <c r="C160" s="137"/>
      <c r="D160" s="131" t="s">
        <v>415</v>
      </c>
      <c r="E160" s="149"/>
      <c r="F160" s="149"/>
      <c r="G160" s="148"/>
      <c r="H160" s="135"/>
      <c r="I160" s="149"/>
      <c r="J160" s="135"/>
      <c r="K160" s="135"/>
      <c r="L160" s="148"/>
      <c r="M160" s="135"/>
      <c r="N160" s="135"/>
      <c r="O160" s="135"/>
    </row>
    <row r="161" spans="2:15">
      <c r="B161" s="196">
        <f>+B160+1</f>
        <v>83</v>
      </c>
      <c r="C161" s="137"/>
      <c r="D161" s="179" t="str">
        <f>+D135</f>
        <v xml:space="preserve">  Transmission </v>
      </c>
      <c r="E161" s="146" t="s">
        <v>208</v>
      </c>
      <c r="F161" s="180"/>
      <c r="G161" s="121">
        <v>3721091</v>
      </c>
      <c r="H161" s="211"/>
      <c r="I161" s="181" t="s">
        <v>363</v>
      </c>
      <c r="J161" s="150">
        <f>J73</f>
        <v>1</v>
      </c>
      <c r="K161" s="182"/>
      <c r="L161" s="183">
        <f>J161*G161</f>
        <v>3721091</v>
      </c>
      <c r="M161" s="182"/>
      <c r="N161" s="135"/>
      <c r="O161" s="135"/>
    </row>
    <row r="162" spans="2:15">
      <c r="B162" s="136">
        <f>+B161+1</f>
        <v>84</v>
      </c>
      <c r="C162" s="137"/>
      <c r="D162" s="131" t="s">
        <v>436</v>
      </c>
      <c r="E162" s="180" t="s">
        <v>209</v>
      </c>
      <c r="F162" s="135"/>
      <c r="G162" s="121">
        <v>1255048</v>
      </c>
      <c r="H162" s="148"/>
      <c r="I162" s="149" t="s">
        <v>432</v>
      </c>
      <c r="J162" s="150">
        <f>L235</f>
        <v>1</v>
      </c>
      <c r="K162" s="135"/>
      <c r="L162" s="148">
        <f>+J162*G162</f>
        <v>1255048</v>
      </c>
      <c r="M162" s="135"/>
      <c r="N162" s="135"/>
      <c r="O162" s="135"/>
    </row>
    <row r="163" spans="2:15">
      <c r="B163" s="136">
        <f>+B162+1</f>
        <v>85</v>
      </c>
      <c r="C163" s="137"/>
      <c r="D163" s="131" t="s">
        <v>437</v>
      </c>
      <c r="E163" s="180" t="s">
        <v>210</v>
      </c>
      <c r="F163" s="135"/>
      <c r="G163" s="121">
        <v>0</v>
      </c>
      <c r="H163" s="148"/>
      <c r="I163" s="149" t="s">
        <v>432</v>
      </c>
      <c r="J163" s="150">
        <f>L235</f>
        <v>1</v>
      </c>
      <c r="K163" s="135"/>
      <c r="L163" s="148">
        <f>+J163*G163</f>
        <v>0</v>
      </c>
      <c r="M163" s="135"/>
      <c r="N163" s="135"/>
      <c r="O163" s="135"/>
    </row>
    <row r="164" spans="2:15" ht="15.75" thickBot="1">
      <c r="B164" s="136" t="s">
        <v>1046</v>
      </c>
      <c r="C164" s="137"/>
      <c r="D164" s="131" t="s">
        <v>1029</v>
      </c>
      <c r="E164" s="146" t="s">
        <v>1047</v>
      </c>
      <c r="F164" s="1105"/>
      <c r="G164" s="1106">
        <v>0</v>
      </c>
      <c r="H164" s="1107"/>
      <c r="I164" s="149" t="s">
        <v>1031</v>
      </c>
      <c r="J164" s="150">
        <f>$L$224</f>
        <v>1</v>
      </c>
      <c r="K164" s="135"/>
      <c r="L164" s="184">
        <f>+G164*J164</f>
        <v>0</v>
      </c>
      <c r="M164" s="135"/>
      <c r="N164" s="135"/>
      <c r="O164" s="135"/>
    </row>
    <row r="165" spans="2:15" ht="15" customHeight="1">
      <c r="B165" s="136">
        <f>+B163+1</f>
        <v>86</v>
      </c>
      <c r="C165" s="137"/>
      <c r="D165" s="131" t="s">
        <v>104</v>
      </c>
      <c r="E165" s="212" t="str">
        <f>"(Ln "&amp;B161&amp;"+"&amp;B162&amp;"+"&amp;B163&amp;")"</f>
        <v>(Ln 83+84+85)</v>
      </c>
      <c r="F165" s="135"/>
      <c r="G165" s="148">
        <f>+G161+G162+G163+G164</f>
        <v>4976139</v>
      </c>
      <c r="H165" s="135"/>
      <c r="I165" s="149"/>
      <c r="J165" s="135"/>
      <c r="K165" s="135"/>
      <c r="L165" s="148">
        <f>+L161+L162+L163+L164</f>
        <v>4976139</v>
      </c>
      <c r="M165" s="135"/>
      <c r="N165" s="135"/>
      <c r="O165" s="135"/>
    </row>
    <row r="166" spans="2:15">
      <c r="B166" s="136"/>
      <c r="C166" s="137"/>
      <c r="D166" s="131"/>
      <c r="E166" s="213"/>
      <c r="F166" s="135"/>
      <c r="G166" s="148"/>
      <c r="H166" s="135"/>
      <c r="I166" s="149"/>
      <c r="J166" s="135"/>
      <c r="K166" s="135"/>
      <c r="L166" s="148"/>
      <c r="M166" s="135"/>
      <c r="N166" s="135"/>
      <c r="O166" s="135"/>
    </row>
    <row r="167" spans="2:15">
      <c r="B167" s="136">
        <f>+B165+1</f>
        <v>87</v>
      </c>
      <c r="C167" s="137"/>
      <c r="D167" s="131" t="s">
        <v>367</v>
      </c>
      <c r="E167" s="126" t="s">
        <v>211</v>
      </c>
      <c r="G167" s="148"/>
      <c r="H167" s="135"/>
      <c r="I167" s="149"/>
      <c r="J167" s="135"/>
      <c r="K167" s="135"/>
      <c r="L167" s="148"/>
      <c r="M167" s="135"/>
      <c r="N167" s="204"/>
      <c r="O167" s="135"/>
    </row>
    <row r="168" spans="2:15">
      <c r="B168" s="136">
        <f t="shared" ref="B168:B173" si="7">+B167+1</f>
        <v>88</v>
      </c>
      <c r="C168" s="137"/>
      <c r="D168" s="131" t="s">
        <v>438</v>
      </c>
      <c r="G168" s="148"/>
      <c r="H168" s="135"/>
      <c r="I168" s="149"/>
      <c r="K168" s="135"/>
      <c r="L168" s="148"/>
      <c r="M168" s="135"/>
      <c r="N168" s="135"/>
      <c r="O168" s="135"/>
    </row>
    <row r="169" spans="2:15">
      <c r="B169" s="136">
        <f t="shared" si="7"/>
        <v>89</v>
      </c>
      <c r="C169" s="137"/>
      <c r="D169" s="131" t="s">
        <v>439</v>
      </c>
      <c r="E169" s="135" t="str">
        <f>"Worksheet H ln "&amp;'WS H-p1 Other Taxes'!A43&amp;"."&amp;'WS H-p1 Other Taxes'!I10&amp;""</f>
        <v>Worksheet H ln 23.(D)</v>
      </c>
      <c r="F169" s="135"/>
      <c r="G169" s="148">
        <f>+'WS H-p1 Other Taxes'!I43</f>
        <v>0</v>
      </c>
      <c r="H169" s="148"/>
      <c r="I169" s="149" t="s">
        <v>432</v>
      </c>
      <c r="J169" s="150">
        <f>L235</f>
        <v>1</v>
      </c>
      <c r="K169" s="135"/>
      <c r="L169" s="148">
        <f>+J169*G169</f>
        <v>0</v>
      </c>
      <c r="M169" s="199"/>
      <c r="N169" s="135"/>
      <c r="O169" s="135"/>
    </row>
    <row r="170" spans="2:15">
      <c r="B170" s="136">
        <f t="shared" si="7"/>
        <v>90</v>
      </c>
      <c r="C170" s="137"/>
      <c r="D170" s="131" t="s">
        <v>440</v>
      </c>
      <c r="E170" s="135" t="s">
        <v>416</v>
      </c>
      <c r="F170" s="135"/>
      <c r="G170" s="148"/>
      <c r="H170" s="148"/>
      <c r="I170" s="149"/>
      <c r="K170" s="135"/>
      <c r="L170" s="148"/>
      <c r="M170" s="135"/>
      <c r="N170" s="135"/>
      <c r="O170" s="135"/>
    </row>
    <row r="171" spans="2:15">
      <c r="B171" s="136">
        <f t="shared" si="7"/>
        <v>91</v>
      </c>
      <c r="C171" s="137"/>
      <c r="D171" s="131" t="s">
        <v>441</v>
      </c>
      <c r="E171" s="135" t="str">
        <f>"Worksheet H-p2 ln "&amp;'WS H-p2 Detail of Tax Amts'!A22&amp;"."&amp;'WS H-p2 Detail of Tax Amts'!E19&amp; " &amp; ln "&amp;'WS H-p2 Detail of Tax Amts'!A22&amp;"."&amp;'WS H-p2 Detail of Tax Amts'!I19&amp;""</f>
        <v>Worksheet H-p2 ln 3.(C) &amp; ln 3.(G)</v>
      </c>
      <c r="F171" s="135"/>
      <c r="G171" s="148">
        <f>'WS H-p2 Detail of Tax Amts'!E22</f>
        <v>1304554.05</v>
      </c>
      <c r="H171" s="148"/>
      <c r="I171" s="149" t="s">
        <v>430</v>
      </c>
      <c r="J171" s="150">
        <v>1</v>
      </c>
      <c r="K171" s="135"/>
      <c r="L171" s="148">
        <f>'WS H-p2 Detail of Tax Amts'!I22</f>
        <v>1304554.05</v>
      </c>
      <c r="M171" s="214"/>
      <c r="N171" s="204"/>
      <c r="O171" s="135"/>
    </row>
    <row r="172" spans="2:15">
      <c r="B172" s="136">
        <f t="shared" si="7"/>
        <v>92</v>
      </c>
      <c r="C172" s="137"/>
      <c r="D172" s="131" t="s">
        <v>492</v>
      </c>
      <c r="E172" s="135" t="str">
        <f>"Worksheet H ln "&amp;'WS H-p1 Other Taxes'!A43&amp;"."&amp;'WS H-p1 Other Taxes'!M10&amp;""</f>
        <v>Worksheet H ln 23.(F)</v>
      </c>
      <c r="F172" s="135"/>
      <c r="G172" s="148">
        <f>+'WS H-p1 Other Taxes'!M43</f>
        <v>0</v>
      </c>
      <c r="H172" s="41"/>
      <c r="I172" s="149" t="s">
        <v>428</v>
      </c>
      <c r="J172" s="150">
        <v>0</v>
      </c>
      <c r="K172" s="135"/>
      <c r="L172" s="148">
        <f>+J172*G172</f>
        <v>0</v>
      </c>
      <c r="M172" s="135"/>
      <c r="N172" s="135"/>
      <c r="O172" s="135"/>
    </row>
    <row r="173" spans="2:15" ht="15.75" thickBot="1">
      <c r="B173" s="136">
        <f t="shared" si="7"/>
        <v>93</v>
      </c>
      <c r="C173" s="137"/>
      <c r="D173" s="131" t="s">
        <v>442</v>
      </c>
      <c r="E173" s="135" t="str">
        <f>"Worksheet H ln "&amp;'WS H-p1 Other Taxes'!A43&amp;"."&amp;'WS H-p1 Other Taxes'!K10&amp;""</f>
        <v>Worksheet H ln 23.(E)</v>
      </c>
      <c r="F173" s="135"/>
      <c r="G173" s="184">
        <f>+'WS H-p1 Other Taxes'!K43</f>
        <v>0</v>
      </c>
      <c r="H173" s="41"/>
      <c r="I173" s="149" t="s">
        <v>763</v>
      </c>
      <c r="J173" s="150">
        <f>J70</f>
        <v>1</v>
      </c>
      <c r="K173" s="135"/>
      <c r="L173" s="184">
        <f>+J173*G173</f>
        <v>0</v>
      </c>
      <c r="M173" s="135"/>
      <c r="N173" s="135"/>
      <c r="O173" s="135"/>
    </row>
    <row r="174" spans="2:15">
      <c r="B174" s="136">
        <f>+B173+1</f>
        <v>94</v>
      </c>
      <c r="C174" s="137"/>
      <c r="D174" s="131" t="s">
        <v>368</v>
      </c>
      <c r="E174" s="146" t="str">
        <f>"(sum lns "&amp;B169&amp;" to "&amp;B173&amp;")"</f>
        <v>(sum lns 89 to 93)</v>
      </c>
      <c r="F174" s="135"/>
      <c r="G174" s="148">
        <f>SUM(G169:G173)</f>
        <v>1304554.05</v>
      </c>
      <c r="H174" s="135"/>
      <c r="I174" s="149"/>
      <c r="J174" s="215"/>
      <c r="K174" s="135"/>
      <c r="L174" s="148">
        <f>SUM(L169:L173)</f>
        <v>1304554.05</v>
      </c>
      <c r="M174" s="135"/>
      <c r="N174" s="135"/>
      <c r="O174" s="135"/>
    </row>
    <row r="175" spans="2:15">
      <c r="B175" s="136"/>
      <c r="C175" s="137"/>
      <c r="D175" s="131"/>
      <c r="E175" s="135"/>
      <c r="F175" s="135"/>
      <c r="G175" s="135"/>
      <c r="H175" s="135"/>
      <c r="I175" s="149"/>
      <c r="J175" s="215"/>
      <c r="K175" s="135"/>
      <c r="L175" s="135"/>
      <c r="M175" s="216"/>
      <c r="N175" s="135"/>
      <c r="O175" s="135"/>
    </row>
    <row r="176" spans="2:15">
      <c r="B176" s="136">
        <f>+B174+1</f>
        <v>95</v>
      </c>
      <c r="C176" s="137"/>
      <c r="D176" s="131" t="s">
        <v>139</v>
      </c>
      <c r="E176" s="135" t="s">
        <v>212</v>
      </c>
      <c r="F176" s="217"/>
      <c r="G176" s="135"/>
      <c r="H176" s="41"/>
      <c r="I176" s="205"/>
      <c r="K176" s="135"/>
      <c r="L176" s="218"/>
      <c r="M176" s="135"/>
      <c r="N176" s="135"/>
      <c r="O176" s="135"/>
    </row>
    <row r="177" spans="2:15">
      <c r="B177" s="136">
        <f t="shared" ref="B177:B182" si="8">+B176+1</f>
        <v>96</v>
      </c>
      <c r="C177" s="137"/>
      <c r="D177" s="199" t="s">
        <v>140</v>
      </c>
      <c r="E177" s="135"/>
      <c r="F177" s="219"/>
      <c r="G177" s="220">
        <f>IF(F357&gt;0,1-(((1-F358)*(1-F357))/(1-F358*F357*F359)),0)</f>
        <v>0.24918399999999996</v>
      </c>
      <c r="H177" s="221"/>
      <c r="I177" s="221"/>
      <c r="K177" s="222"/>
      <c r="L177" s="218"/>
      <c r="M177" s="135"/>
      <c r="N177" s="135"/>
      <c r="O177" s="135"/>
    </row>
    <row r="178" spans="2:15">
      <c r="B178" s="136">
        <f t="shared" si="8"/>
        <v>97</v>
      </c>
      <c r="C178" s="137"/>
      <c r="D178" s="126" t="s">
        <v>141</v>
      </c>
      <c r="E178" s="135"/>
      <c r="F178" s="219"/>
      <c r="G178" s="220">
        <f>IF(L249&gt;0,($G177/(1-$G177))*(1-$L249/$L252),0)</f>
        <v>0.25547497689059179</v>
      </c>
      <c r="H178" s="221"/>
      <c r="I178" s="221"/>
      <c r="K178" s="222"/>
      <c r="L178" s="218"/>
      <c r="M178" s="135"/>
      <c r="N178" s="135"/>
      <c r="O178" s="135"/>
    </row>
    <row r="179" spans="2:15">
      <c r="B179" s="136">
        <f t="shared" si="8"/>
        <v>98</v>
      </c>
      <c r="C179" s="137"/>
      <c r="D179" s="131" t="str">
        <f>"       where WCLTD=(ln "&amp;B249&amp;") and WACC = (ln "&amp;B252&amp;")"</f>
        <v xml:space="preserve">       where WCLTD=(ln 136) and WACC = (ln 139)</v>
      </c>
      <c r="E179" s="135"/>
      <c r="F179" s="217"/>
      <c r="G179" s="135"/>
      <c r="H179" s="221"/>
      <c r="I179" s="221"/>
      <c r="J179" s="223"/>
      <c r="K179" s="222"/>
      <c r="L179" s="224"/>
      <c r="M179" s="135"/>
      <c r="N179" s="135"/>
      <c r="O179" s="135"/>
    </row>
    <row r="180" spans="2:15">
      <c r="B180" s="136">
        <f t="shared" si="8"/>
        <v>99</v>
      </c>
      <c r="C180" s="137"/>
      <c r="D180" s="131" t="s">
        <v>213</v>
      </c>
      <c r="E180" s="225"/>
      <c r="F180" s="219"/>
      <c r="G180" s="135"/>
      <c r="H180" s="41"/>
      <c r="I180" s="205"/>
      <c r="J180" s="223"/>
      <c r="K180" s="222"/>
      <c r="L180" s="218"/>
      <c r="M180" s="135"/>
      <c r="N180" s="135"/>
      <c r="O180" s="135"/>
    </row>
    <row r="181" spans="2:15">
      <c r="B181" s="136">
        <f t="shared" si="8"/>
        <v>100</v>
      </c>
      <c r="C181" s="137"/>
      <c r="D181" s="199" t="str">
        <f>"      GRCF=1 / (1 - T)  = (from ln "&amp;B177&amp;")"</f>
        <v xml:space="preserve">      GRCF=1 / (1 - T)  = (from ln 96)</v>
      </c>
      <c r="E181" s="217"/>
      <c r="F181" s="217"/>
      <c r="G181" s="226">
        <f>IF(G177&gt;0,1/(1-G177),0)</f>
        <v>1.3318842432766482</v>
      </c>
      <c r="H181" s="41"/>
      <c r="I181" s="160"/>
      <c r="J181" s="227"/>
      <c r="K181" s="228"/>
      <c r="L181" s="229"/>
      <c r="M181" s="135"/>
      <c r="N181" s="135"/>
      <c r="O181" s="135"/>
    </row>
    <row r="182" spans="2:15">
      <c r="B182" s="136">
        <f t="shared" si="8"/>
        <v>101</v>
      </c>
      <c r="C182" s="137"/>
      <c r="D182" s="131" t="s">
        <v>142</v>
      </c>
      <c r="E182" s="192" t="s">
        <v>300</v>
      </c>
      <c r="F182" s="217"/>
      <c r="G182" s="115">
        <v>0</v>
      </c>
      <c r="H182" s="3"/>
      <c r="I182" s="160"/>
      <c r="J182" s="910"/>
      <c r="K182" s="148"/>
      <c r="M182" s="149"/>
      <c r="N182" s="135"/>
      <c r="O182" s="135"/>
    </row>
    <row r="183" spans="2:15">
      <c r="B183" s="136">
        <f t="shared" ref="B183:B189" si="9">+B182+1</f>
        <v>102</v>
      </c>
      <c r="C183" s="137"/>
      <c r="D183" s="131" t="s">
        <v>560</v>
      </c>
      <c r="E183" s="135" t="s">
        <v>764</v>
      </c>
      <c r="F183" s="219"/>
      <c r="G183" s="115">
        <v>15014.649262379855</v>
      </c>
      <c r="H183" s="3"/>
      <c r="I183" s="162" t="s">
        <v>639</v>
      </c>
      <c r="J183" s="150">
        <f>NP_h</f>
        <v>1</v>
      </c>
      <c r="K183" s="148"/>
      <c r="L183" s="148">
        <f>+G183*J183</f>
        <v>15014.649262379855</v>
      </c>
      <c r="M183" s="135"/>
      <c r="N183" s="135"/>
      <c r="O183" s="135"/>
    </row>
    <row r="184" spans="2:15">
      <c r="B184" s="136">
        <f t="shared" si="9"/>
        <v>103</v>
      </c>
      <c r="C184" s="137"/>
      <c r="D184" s="131" t="s">
        <v>638</v>
      </c>
      <c r="E184" s="135" t="s">
        <v>764</v>
      </c>
      <c r="F184" s="219"/>
      <c r="G184" s="115">
        <v>40129.055230893595</v>
      </c>
      <c r="H184" s="3"/>
      <c r="I184" s="162" t="s">
        <v>639</v>
      </c>
      <c r="J184" s="150">
        <f>NP_h</f>
        <v>1</v>
      </c>
      <c r="K184" s="148"/>
      <c r="L184" s="148">
        <f>+G184*J184</f>
        <v>40129.055230893595</v>
      </c>
      <c r="M184" s="135"/>
      <c r="N184" s="135"/>
      <c r="O184" s="135"/>
    </row>
    <row r="185" spans="2:15">
      <c r="B185" s="136">
        <f t="shared" si="9"/>
        <v>104</v>
      </c>
      <c r="C185" s="137"/>
      <c r="D185" s="199" t="s">
        <v>143</v>
      </c>
      <c r="E185" s="230" t="str">
        <f>"(ln "&amp;B178&amp;" * ln "&amp;B191&amp;")"</f>
        <v>(ln 97 * ln 109)</v>
      </c>
      <c r="F185" s="231"/>
      <c r="G185" s="148">
        <f>+G178*G191</f>
        <v>2461951.9813180258</v>
      </c>
      <c r="H185" s="3"/>
      <c r="I185" s="160"/>
      <c r="J185" s="904"/>
      <c r="K185" s="148"/>
      <c r="L185" s="148">
        <f>+L191*G178</f>
        <v>2519380.2162613836</v>
      </c>
      <c r="M185" s="135"/>
      <c r="N185" s="135"/>
      <c r="O185" s="135"/>
    </row>
    <row r="186" spans="2:15">
      <c r="B186" s="136">
        <f t="shared" si="9"/>
        <v>105</v>
      </c>
      <c r="C186" s="137"/>
      <c r="D186" s="126" t="s">
        <v>144</v>
      </c>
      <c r="E186" s="230" t="str">
        <f>"(ln "&amp;B181&amp;" * ln "&amp;B182&amp;")"</f>
        <v>(ln 100 * ln 101)</v>
      </c>
      <c r="F186" s="230"/>
      <c r="G186" s="148">
        <f>G181*G182</f>
        <v>0</v>
      </c>
      <c r="H186" s="3"/>
      <c r="I186" s="162" t="s">
        <v>639</v>
      </c>
      <c r="J186" s="150">
        <f>NP_h</f>
        <v>1</v>
      </c>
      <c r="K186" s="148"/>
      <c r="L186" s="148">
        <f>+G186*J186</f>
        <v>0</v>
      </c>
      <c r="M186" s="135"/>
      <c r="N186" s="135"/>
      <c r="O186" s="135"/>
    </row>
    <row r="187" spans="2:15">
      <c r="B187" s="136">
        <f t="shared" si="9"/>
        <v>106</v>
      </c>
      <c r="C187" s="137"/>
      <c r="D187" s="126" t="s">
        <v>560</v>
      </c>
      <c r="E187" s="230" t="str">
        <f>"(ln "&amp;B181&amp;" * ln "&amp;B183&amp;")"</f>
        <v>(ln 100 * ln 102)</v>
      </c>
      <c r="F187" s="230"/>
      <c r="G187" s="148">
        <f>G181*G183</f>
        <v>19997.774770889078</v>
      </c>
      <c r="H187" s="3"/>
      <c r="I187" s="162"/>
      <c r="J187" s="150"/>
      <c r="K187" s="148"/>
      <c r="L187" s="148">
        <f>G181*L183</f>
        <v>19997.774770889078</v>
      </c>
      <c r="M187" s="135"/>
      <c r="N187" s="135"/>
      <c r="O187" s="135"/>
    </row>
    <row r="188" spans="2:15">
      <c r="B188" s="136">
        <f t="shared" si="9"/>
        <v>107</v>
      </c>
      <c r="C188" s="137"/>
      <c r="D188" s="131" t="s">
        <v>638</v>
      </c>
      <c r="E188" s="230" t="str">
        <f>"(ln "&amp;B181&amp;" * ln "&amp;B184&amp;")"</f>
        <v>(ln 100 * ln 103)</v>
      </c>
      <c r="F188" s="230"/>
      <c r="G188" s="905">
        <f>G181*G184</f>
        <v>53447.256359605541</v>
      </c>
      <c r="H188" s="3"/>
      <c r="I188" s="162"/>
      <c r="J188" s="150"/>
      <c r="K188" s="148"/>
      <c r="L188" s="905">
        <f>G181*L184</f>
        <v>53447.256359605541</v>
      </c>
      <c r="M188" s="135"/>
      <c r="N188" s="135"/>
      <c r="O188" s="135"/>
    </row>
    <row r="189" spans="2:15">
      <c r="B189" s="196">
        <f t="shared" si="9"/>
        <v>108</v>
      </c>
      <c r="C189" s="137"/>
      <c r="D189" s="199" t="s">
        <v>369</v>
      </c>
      <c r="E189" s="135" t="str">
        <f>"(sum lns "&amp;B185&amp;" to "&amp;B188&amp;")"</f>
        <v>(sum lns 104 to 107)</v>
      </c>
      <c r="F189" s="230"/>
      <c r="G189" s="162">
        <f>SUM(G185:G188)</f>
        <v>2535397.0124485204</v>
      </c>
      <c r="H189" s="41"/>
      <c r="I189" s="160" t="s">
        <v>416</v>
      </c>
      <c r="J189" s="232"/>
      <c r="K189" s="148"/>
      <c r="L189" s="162">
        <f>SUM(L185:L188)</f>
        <v>2592825.2473918782</v>
      </c>
      <c r="M189" s="135"/>
      <c r="N189" s="135"/>
      <c r="O189" s="135"/>
    </row>
    <row r="190" spans="2:15">
      <c r="B190" s="196"/>
      <c r="C190" s="137"/>
      <c r="D190" s="199"/>
      <c r="E190" s="135"/>
      <c r="F190" s="230"/>
      <c r="G190" s="162"/>
      <c r="H190" s="41"/>
      <c r="I190" s="160"/>
      <c r="J190" s="232"/>
      <c r="K190" s="148"/>
      <c r="L190" s="162"/>
      <c r="M190" s="135"/>
      <c r="N190" s="135"/>
      <c r="O190" s="135"/>
    </row>
    <row r="191" spans="2:15">
      <c r="B191" s="196">
        <f>+B189+1</f>
        <v>109</v>
      </c>
      <c r="C191" s="137"/>
      <c r="D191" s="199" t="s">
        <v>491</v>
      </c>
      <c r="E191" s="199" t="str">
        <f>"(ln "&amp;B118&amp;" * ln "&amp;B252&amp;")"</f>
        <v>(ln 58 * ln 139)</v>
      </c>
      <c r="F191" s="195"/>
      <c r="G191" s="233">
        <f>+$L252*G118</f>
        <v>9636763.6912337095</v>
      </c>
      <c r="H191" s="135"/>
      <c r="I191" s="160"/>
      <c r="J191" s="148"/>
      <c r="K191" s="148"/>
      <c r="L191" s="233">
        <f>+L252*L118</f>
        <v>9861553.7495099511</v>
      </c>
      <c r="M191" s="135"/>
      <c r="N191" s="218"/>
      <c r="O191" s="218"/>
    </row>
    <row r="192" spans="2:15">
      <c r="B192" s="136"/>
      <c r="C192" s="137"/>
      <c r="D192" s="199"/>
      <c r="G192" s="148"/>
      <c r="H192" s="148"/>
      <c r="I192" s="160"/>
      <c r="J192" s="160"/>
      <c r="K192" s="148"/>
      <c r="L192" s="148"/>
      <c r="M192" s="135"/>
    </row>
    <row r="193" spans="2:13">
      <c r="B193" s="136">
        <f>+B191+1</f>
        <v>110</v>
      </c>
      <c r="C193" s="137"/>
      <c r="D193" s="234" t="s">
        <v>400</v>
      </c>
      <c r="F193" s="180"/>
      <c r="G193" s="148">
        <f>-'WS D IPP Credits'!C13</f>
        <v>0</v>
      </c>
      <c r="H193" s="148"/>
      <c r="I193" s="201" t="s">
        <v>430</v>
      </c>
      <c r="J193" s="150">
        <v>1</v>
      </c>
      <c r="K193" s="183"/>
      <c r="L193" s="148">
        <f>+J193*G193</f>
        <v>0</v>
      </c>
      <c r="M193" s="182"/>
    </row>
    <row r="194" spans="2:13">
      <c r="B194" s="136"/>
      <c r="C194" s="137"/>
      <c r="D194" s="234"/>
      <c r="F194" s="180"/>
      <c r="G194" s="148"/>
      <c r="H194" s="148"/>
      <c r="I194" s="201"/>
      <c r="J194" s="150"/>
      <c r="K194" s="183"/>
      <c r="L194" s="148"/>
      <c r="M194" s="182"/>
    </row>
    <row r="195" spans="2:13">
      <c r="B195" s="136">
        <f>+B193+1</f>
        <v>111</v>
      </c>
      <c r="C195" s="137"/>
      <c r="D195" s="234" t="str">
        <f>"(Gains) / Losses on Sales of Plant Held for Future Use (Worksheet N, ln "&amp;'WS N - Sale of Plant Held'!A33&amp;", Cols. ("&amp;'WS N - Sale of Plant Held'!O12&amp;" &amp; "&amp;'WS N - Sale of Plant Held'!S12&amp;")"</f>
        <v>(Gains) / Losses on Sales of Plant Held for Future Use (Worksheet N, ln 4, Cols. ((F) &amp; (H))</v>
      </c>
      <c r="F195" s="180"/>
      <c r="G195" s="148">
        <f>+'WS N - Sale of Plant Held'!O33</f>
        <v>0</v>
      </c>
      <c r="H195" s="148"/>
      <c r="I195" s="201"/>
      <c r="J195" s="150"/>
      <c r="K195" s="183"/>
      <c r="L195" s="148">
        <f>'WS N - Sale of Plant Held'!S33</f>
        <v>0</v>
      </c>
      <c r="M195" s="182"/>
    </row>
    <row r="196" spans="2:13">
      <c r="B196" s="136"/>
      <c r="C196" s="137"/>
      <c r="D196" s="234"/>
      <c r="F196" s="180"/>
      <c r="G196" s="148"/>
      <c r="H196" s="148"/>
      <c r="I196" s="201"/>
      <c r="J196" s="150"/>
      <c r="K196" s="183"/>
      <c r="L196" s="148"/>
      <c r="M196" s="182"/>
    </row>
    <row r="197" spans="2:13">
      <c r="B197" s="136">
        <f>+B195+1</f>
        <v>112</v>
      </c>
      <c r="C197" s="137"/>
      <c r="D197" s="234" t="str">
        <f>" Tax Impact on Net Loss / (Gain) on Sales of Plant Held for Future Use (ln "&amp;B195&amp;" * ln"&amp;B178&amp;")"</f>
        <v xml:space="preserve"> Tax Impact on Net Loss / (Gain) on Sales of Plant Held for Future Use (ln 111 * ln97)</v>
      </c>
      <c r="F197" s="180"/>
      <c r="G197" s="148">
        <f>-+G178*G195</f>
        <v>0</v>
      </c>
      <c r="H197" s="148"/>
      <c r="I197" s="201"/>
      <c r="J197" s="150"/>
      <c r="K197" s="183"/>
      <c r="L197" s="148">
        <f>L195*-G178</f>
        <v>0</v>
      </c>
      <c r="M197" s="182"/>
    </row>
    <row r="198" spans="2:13" ht="15.75" thickBot="1">
      <c r="B198" s="136"/>
      <c r="C198" s="137"/>
      <c r="D198" s="131"/>
      <c r="G198" s="184"/>
      <c r="H198" s="235"/>
      <c r="I198" s="160"/>
      <c r="J198" s="160"/>
      <c r="K198" s="148"/>
      <c r="L198" s="184"/>
      <c r="M198" s="135"/>
    </row>
    <row r="199" spans="2:13" ht="15.75" thickBot="1">
      <c r="B199" s="136">
        <f>+B197+1</f>
        <v>113</v>
      </c>
      <c r="C199" s="137"/>
      <c r="D199" s="126" t="s">
        <v>47</v>
      </c>
      <c r="G199" s="236">
        <f>+G193+G191+G189+G174+G165+G158+G195+G197</f>
        <v>20932963.890370615</v>
      </c>
      <c r="L199" s="236">
        <f>+L193+L191+L189+L174+L165+L158+L195+L197</f>
        <v>21215182.183590215</v>
      </c>
      <c r="M199" s="135"/>
    </row>
    <row r="200" spans="2:13" ht="15.75" thickTop="1">
      <c r="B200" s="136"/>
      <c r="C200" s="137"/>
      <c r="D200" s="131" t="str">
        <f>"    (sum lns "&amp;B158&amp;", "&amp;B165&amp;", "&amp;B174&amp;", "&amp;B189&amp;", "&amp;B191&amp;", "&amp;B193&amp;", "&amp;B195&amp;", "&amp;B197&amp;")"</f>
        <v xml:space="preserve">    (sum lns 81, 86, 94, 108, 109, 110, 111, 112)</v>
      </c>
      <c r="F200" s="144"/>
      <c r="M200" s="135"/>
    </row>
    <row r="201" spans="2:13">
      <c r="B201" s="136"/>
      <c r="C201" s="137"/>
      <c r="F201" s="144"/>
      <c r="M201" s="135"/>
    </row>
    <row r="202" spans="2:13">
      <c r="B202" s="136"/>
      <c r="C202" s="137"/>
      <c r="D202" s="131"/>
      <c r="F202" s="205" t="str">
        <f>F121</f>
        <v>AEPTCo subsidiaries in PJM</v>
      </c>
      <c r="M202" s="204"/>
    </row>
    <row r="203" spans="2:13">
      <c r="B203" s="136"/>
      <c r="C203" s="137"/>
      <c r="D203" s="131"/>
      <c r="F203" s="205" t="str">
        <f>F122</f>
        <v>Transmission Cost of Service Formula Rate</v>
      </c>
      <c r="M203" s="204"/>
    </row>
    <row r="204" spans="2:13">
      <c r="B204" s="126"/>
      <c r="C204" s="137"/>
      <c r="F204" s="205" t="str">
        <f>F123</f>
        <v>Utilizing  Actual/Projected FERC Form 1 Data</v>
      </c>
      <c r="M204" s="166"/>
    </row>
    <row r="205" spans="2:13">
      <c r="B205" s="136"/>
      <c r="C205" s="137"/>
      <c r="E205" s="205"/>
      <c r="F205" s="205"/>
      <c r="G205" s="205"/>
      <c r="H205" s="205"/>
      <c r="I205" s="205"/>
      <c r="J205" s="205"/>
      <c r="K205" s="205"/>
      <c r="M205" s="135"/>
    </row>
    <row r="206" spans="2:13">
      <c r="B206" s="136"/>
      <c r="C206" s="137"/>
      <c r="E206" s="131"/>
      <c r="F206" s="205" t="str">
        <f>F125</f>
        <v>AEP Kentucky Transmission Company</v>
      </c>
      <c r="G206" s="131"/>
      <c r="H206" s="131"/>
      <c r="I206" s="131"/>
      <c r="J206" s="131"/>
      <c r="K206" s="131"/>
      <c r="L206" s="131"/>
      <c r="M206" s="131"/>
    </row>
    <row r="207" spans="2:13">
      <c r="B207" s="136"/>
      <c r="C207" s="137"/>
      <c r="E207" s="131"/>
      <c r="F207" s="205"/>
      <c r="G207" s="131"/>
      <c r="H207" s="131"/>
      <c r="I207" s="131"/>
      <c r="J207" s="131"/>
      <c r="K207" s="131"/>
      <c r="L207" s="131"/>
      <c r="M207" s="131"/>
    </row>
    <row r="208" spans="2:13" ht="15.75">
      <c r="B208" s="136"/>
      <c r="C208" s="137"/>
      <c r="F208" s="206" t="s">
        <v>374</v>
      </c>
      <c r="H208" s="131"/>
      <c r="I208" s="131"/>
      <c r="J208" s="131"/>
      <c r="K208" s="131"/>
      <c r="L208" s="131"/>
      <c r="M208" s="135"/>
    </row>
    <row r="209" spans="2:16" ht="15.75">
      <c r="B209" s="136"/>
      <c r="C209" s="137"/>
      <c r="D209" s="237"/>
      <c r="E209" s="131"/>
      <c r="F209" s="131"/>
      <c r="G209" s="131"/>
      <c r="H209" s="131"/>
      <c r="I209" s="131"/>
      <c r="J209" s="131"/>
      <c r="K209" s="131"/>
      <c r="L209" s="131"/>
      <c r="M209" s="135"/>
    </row>
    <row r="210" spans="2:16" ht="15.75">
      <c r="B210" s="136" t="s">
        <v>418</v>
      </c>
      <c r="C210" s="137"/>
      <c r="D210" s="237"/>
      <c r="E210" s="131"/>
      <c r="F210" s="131"/>
      <c r="G210" s="131"/>
      <c r="H210" s="131"/>
      <c r="I210" s="131"/>
      <c r="J210" s="131"/>
      <c r="K210" s="131"/>
      <c r="L210" s="131"/>
      <c r="M210" s="135"/>
    </row>
    <row r="211" spans="2:16" ht="15.75" thickBot="1">
      <c r="B211" s="142" t="s">
        <v>419</v>
      </c>
      <c r="C211" s="137"/>
      <c r="D211" s="131" t="s">
        <v>512</v>
      </c>
      <c r="E211" s="131"/>
      <c r="F211" s="131"/>
      <c r="G211" s="131"/>
      <c r="H211" s="131"/>
      <c r="I211" s="131"/>
      <c r="J211" s="131"/>
      <c r="M211" s="135"/>
      <c r="P211"/>
    </row>
    <row r="212" spans="2:16">
      <c r="B212" s="136">
        <f>+B199+1</f>
        <v>114</v>
      </c>
      <c r="C212" s="137"/>
      <c r="D212" s="131" t="s">
        <v>466</v>
      </c>
      <c r="E212" s="238" t="str">
        <f>"(ln "&amp;B63&amp;")"</f>
        <v>(ln 19)</v>
      </c>
      <c r="F212" s="131"/>
      <c r="H212" s="135"/>
      <c r="I212" s="135"/>
      <c r="J212" s="135"/>
      <c r="K212" s="135"/>
      <c r="L212" s="148">
        <f>+G63</f>
        <v>160022293.89076921</v>
      </c>
      <c r="M212" s="135"/>
      <c r="P212"/>
    </row>
    <row r="213" spans="2:16">
      <c r="B213" s="136">
        <f>+B212+1</f>
        <v>115</v>
      </c>
      <c r="C213" s="137"/>
      <c r="D213" s="131" t="str">
        <f>"  Less transmission plant excluded from PJM Tariff  (Worksheet A, ln "&amp;'WS A - Rate Base Support'!A62&amp;"."&amp;'WS A - Rate Base Support'!E47&amp;") (Note P)"</f>
        <v xml:space="preserve">  Less transmission plant excluded from PJM Tariff  (Worksheet A, ln 42.(d)) (Note P)</v>
      </c>
      <c r="G213" s="205"/>
      <c r="L213" s="115">
        <f>'WS A - Rate Base Support'!E62</f>
        <v>0</v>
      </c>
      <c r="M213" s="135"/>
      <c r="P213"/>
    </row>
    <row r="214" spans="2:16" ht="36" customHeight="1" thickBot="1">
      <c r="B214" s="136">
        <f>+B213+1</f>
        <v>116</v>
      </c>
      <c r="C214" s="137"/>
      <c r="D214" s="131" t="str">
        <f>"  Less transmission plant included in OATT Ancillary Services (Worksheet A, ln "&amp;'WS A - Rate Base Support'!A62&amp;", Col. "&amp;'WS A - Rate Base Support'!C47&amp;")  (Note Q)"</f>
        <v xml:space="preserve">  Less transmission plant included in OATT Ancillary Services (Worksheet A, ln 42, Col. (b))  (Note Q)</v>
      </c>
      <c r="E214" s="131"/>
      <c r="F214" s="131"/>
      <c r="G214" s="149"/>
      <c r="H214" s="135"/>
      <c r="I214" s="135"/>
      <c r="J214" s="149"/>
      <c r="K214" s="135"/>
      <c r="L214" s="184">
        <f>'WS A - Rate Base Support'!C62</f>
        <v>0</v>
      </c>
      <c r="M214" s="135"/>
      <c r="P214"/>
    </row>
    <row r="215" spans="2:16">
      <c r="B215" s="136">
        <f>+B214+1</f>
        <v>117</v>
      </c>
      <c r="C215" s="137"/>
      <c r="D215" s="131" t="s">
        <v>513</v>
      </c>
      <c r="E215" s="146" t="str">
        <f>"(ln "&amp;B212&amp;" - ln "&amp;B213&amp;" - ln "&amp;B214&amp;")"</f>
        <v>(ln 114 - ln 115 - ln 116)</v>
      </c>
      <c r="F215" s="131"/>
      <c r="H215" s="135"/>
      <c r="I215" s="135"/>
      <c r="J215" s="149"/>
      <c r="K215" s="135"/>
      <c r="L215" s="148">
        <f>L212-L213-L214</f>
        <v>160022293.89076921</v>
      </c>
      <c r="M215" s="135"/>
      <c r="P215"/>
    </row>
    <row r="216" spans="2:16" ht="9" customHeight="1">
      <c r="B216" s="136"/>
      <c r="C216" s="137"/>
      <c r="E216" s="131"/>
      <c r="F216" s="131"/>
      <c r="G216" s="149"/>
      <c r="H216" s="135"/>
      <c r="I216" s="135"/>
      <c r="J216" s="149"/>
      <c r="K216" s="135"/>
      <c r="M216" s="135"/>
      <c r="P216"/>
    </row>
    <row r="217" spans="2:16" ht="15.75" customHeight="1">
      <c r="B217" s="136">
        <f>+B215+1</f>
        <v>118</v>
      </c>
      <c r="C217" s="137"/>
      <c r="D217" s="131" t="s">
        <v>514</v>
      </c>
      <c r="E217" s="137" t="str">
        <f>"(ln "&amp;B215&amp;" / ln "&amp;B212&amp;")"</f>
        <v>(ln 117 / ln 114)</v>
      </c>
      <c r="F217" s="140"/>
      <c r="H217" s="140"/>
      <c r="I217" s="138"/>
      <c r="J217" s="138"/>
      <c r="K217" s="197" t="s">
        <v>443</v>
      </c>
      <c r="L217" s="239">
        <f>IF(L212=0,1,L215/L212)</f>
        <v>1</v>
      </c>
      <c r="M217" s="135"/>
      <c r="P217"/>
    </row>
    <row r="218" spans="2:16" ht="15.75">
      <c r="B218" s="136"/>
      <c r="C218" s="137"/>
      <c r="D218" s="237"/>
      <c r="E218" s="131"/>
      <c r="F218" s="131"/>
      <c r="G218" s="135"/>
      <c r="H218" s="131"/>
      <c r="I218" s="137"/>
      <c r="J218" s="131"/>
      <c r="K218" s="131"/>
      <c r="L218" s="131"/>
      <c r="M218" s="135"/>
    </row>
    <row r="219" spans="2:16">
      <c r="B219" s="136" t="s">
        <v>1013</v>
      </c>
      <c r="C219" s="137"/>
      <c r="D219" s="131" t="s">
        <v>1014</v>
      </c>
      <c r="E219" s="131"/>
      <c r="F219" s="131"/>
      <c r="G219" s="135"/>
      <c r="H219" s="131"/>
      <c r="I219" s="137"/>
      <c r="J219" s="131"/>
      <c r="K219" s="131"/>
      <c r="L219" s="131"/>
      <c r="M219" s="135"/>
    </row>
    <row r="220" spans="2:16" ht="15.75">
      <c r="B220" s="136" t="s">
        <v>1015</v>
      </c>
      <c r="C220" s="137"/>
      <c r="D220" s="237" t="s">
        <v>1016</v>
      </c>
      <c r="E220" s="131" t="s">
        <v>1017</v>
      </c>
      <c r="F220" s="131"/>
      <c r="G220" s="135"/>
      <c r="H220" s="131"/>
      <c r="I220" s="137"/>
      <c r="J220" s="131"/>
      <c r="K220" s="131"/>
      <c r="L220" s="148">
        <f>G68</f>
        <v>0</v>
      </c>
      <c r="M220" s="135"/>
    </row>
    <row r="221" spans="2:16" ht="15.75">
      <c r="B221" s="136" t="s">
        <v>1018</v>
      </c>
      <c r="C221" s="137"/>
      <c r="D221" s="237" t="s">
        <v>1019</v>
      </c>
      <c r="E221" s="131" t="s">
        <v>1020</v>
      </c>
      <c r="F221" s="131"/>
      <c r="G221" s="135"/>
      <c r="H221" s="131"/>
      <c r="I221" s="137"/>
      <c r="J221" s="131"/>
      <c r="K221" s="131"/>
      <c r="L221" s="131">
        <f>'WS A - Rate Base Support'!G62</f>
        <v>0</v>
      </c>
      <c r="M221" s="135"/>
    </row>
    <row r="222" spans="2:16" ht="15.75">
      <c r="B222" s="136" t="s">
        <v>1021</v>
      </c>
      <c r="C222" s="137"/>
      <c r="D222" s="237" t="s">
        <v>1022</v>
      </c>
      <c r="E222" s="131" t="s">
        <v>1023</v>
      </c>
      <c r="F222" s="131"/>
      <c r="G222" s="135"/>
      <c r="H222" s="131"/>
      <c r="I222" s="137"/>
      <c r="J222" s="131"/>
      <c r="K222" s="131"/>
      <c r="L222" s="131">
        <f>L220-L221</f>
        <v>0</v>
      </c>
      <c r="M222" s="135"/>
    </row>
    <row r="223" spans="2:16" ht="15.75">
      <c r="B223" s="136"/>
      <c r="C223" s="137"/>
      <c r="D223" s="237"/>
      <c r="E223" s="131"/>
      <c r="F223" s="131"/>
      <c r="G223" s="135"/>
      <c r="H223" s="131"/>
      <c r="I223" s="137"/>
      <c r="J223" s="131"/>
      <c r="K223" s="131"/>
      <c r="L223" s="131"/>
      <c r="M223" s="135"/>
    </row>
    <row r="224" spans="2:16" ht="15.75">
      <c r="B224" s="136" t="s">
        <v>1024</v>
      </c>
      <c r="C224" s="137"/>
      <c r="D224" s="131" t="s">
        <v>1025</v>
      </c>
      <c r="E224" s="131" t="s">
        <v>1026</v>
      </c>
      <c r="F224" s="131"/>
      <c r="G224" s="135"/>
      <c r="H224" s="131"/>
      <c r="I224" s="137"/>
      <c r="J224" s="131"/>
      <c r="K224" s="131" t="s">
        <v>1027</v>
      </c>
      <c r="L224" s="237">
        <f>IFERROR(L222/L220,1)</f>
        <v>1</v>
      </c>
      <c r="M224" s="135"/>
    </row>
    <row r="225" spans="2:13" ht="15.75">
      <c r="B225" s="136"/>
      <c r="C225" s="137"/>
      <c r="D225" s="237"/>
      <c r="E225" s="131"/>
      <c r="F225" s="131"/>
      <c r="G225" s="135"/>
      <c r="H225" s="131"/>
      <c r="I225" s="137"/>
      <c r="J225" s="131"/>
      <c r="K225" s="131"/>
      <c r="L225" s="131"/>
      <c r="M225" s="135"/>
    </row>
    <row r="226" spans="2:13" ht="45">
      <c r="B226" s="136">
        <f>B217+1</f>
        <v>119</v>
      </c>
      <c r="C226" s="137"/>
      <c r="D226" s="131" t="s">
        <v>375</v>
      </c>
      <c r="E226" s="149" t="s">
        <v>145</v>
      </c>
      <c r="F226" s="149" t="s">
        <v>484</v>
      </c>
      <c r="G226" s="240" t="s">
        <v>506</v>
      </c>
      <c r="H226" s="205" t="s">
        <v>420</v>
      </c>
      <c r="I226" s="149"/>
      <c r="J226" s="135"/>
      <c r="K226" s="135"/>
      <c r="L226" s="135"/>
      <c r="M226" s="135"/>
    </row>
    <row r="227" spans="2:13">
      <c r="B227" s="136">
        <f t="shared" ref="B227:B233" si="10">+B226+1</f>
        <v>120</v>
      </c>
      <c r="C227" s="137"/>
      <c r="D227" s="177" t="s">
        <v>320</v>
      </c>
      <c r="E227" s="135"/>
      <c r="F227" s="135"/>
      <c r="G227" s="148"/>
      <c r="H227" s="148"/>
      <c r="I227" s="149"/>
      <c r="J227" s="150"/>
      <c r="K227" s="135"/>
      <c r="L227" s="148"/>
      <c r="M227" s="135"/>
    </row>
    <row r="228" spans="2:13">
      <c r="B228" s="136">
        <f t="shared" si="10"/>
        <v>121</v>
      </c>
      <c r="C228" s="137"/>
      <c r="D228" s="131" t="s">
        <v>429</v>
      </c>
      <c r="E228" s="135" t="s">
        <v>349</v>
      </c>
      <c r="F228" s="115">
        <v>0</v>
      </c>
      <c r="G228" s="114">
        <v>489526.3313051174</v>
      </c>
      <c r="H228" s="241">
        <f>+F228+G228</f>
        <v>489526.3313051174</v>
      </c>
      <c r="I228" s="137" t="s">
        <v>422</v>
      </c>
      <c r="J228" s="150">
        <f>L217</f>
        <v>1</v>
      </c>
      <c r="K228" s="242"/>
      <c r="L228" s="148">
        <f>(F228+G228)*J228</f>
        <v>489526.3313051174</v>
      </c>
      <c r="M228" s="135"/>
    </row>
    <row r="229" spans="2:13">
      <c r="B229" s="136">
        <f t="shared" si="10"/>
        <v>122</v>
      </c>
      <c r="C229" s="137"/>
      <c r="D229" s="131" t="s">
        <v>552</v>
      </c>
      <c r="E229" s="135" t="s">
        <v>262</v>
      </c>
      <c r="F229" s="115">
        <v>0</v>
      </c>
      <c r="G229" s="115">
        <v>0</v>
      </c>
      <c r="H229" s="148">
        <f>+F229+G229</f>
        <v>0</v>
      </c>
      <c r="I229" s="149" t="s">
        <v>428</v>
      </c>
      <c r="J229" s="150">
        <v>0</v>
      </c>
      <c r="K229" s="242"/>
      <c r="L229" s="148">
        <f>(F229+G229)*J229</f>
        <v>0</v>
      </c>
      <c r="M229" s="135"/>
    </row>
    <row r="230" spans="2:13">
      <c r="B230" s="136" t="s">
        <v>1028</v>
      </c>
      <c r="C230" s="137"/>
      <c r="D230" s="131" t="s">
        <v>1029</v>
      </c>
      <c r="E230" s="135" t="s">
        <v>1030</v>
      </c>
      <c r="F230" s="1101"/>
      <c r="G230" s="1101"/>
      <c r="H230" s="241">
        <f t="shared" ref="H230" si="11">+F230+G230</f>
        <v>0</v>
      </c>
      <c r="I230" s="149" t="s">
        <v>1031</v>
      </c>
      <c r="J230" s="150">
        <f>$L$224</f>
        <v>1</v>
      </c>
      <c r="K230" s="242"/>
      <c r="L230" s="148">
        <f t="shared" ref="L230" si="12">(F230+G230)*J230</f>
        <v>0</v>
      </c>
      <c r="M230" s="135"/>
    </row>
    <row r="231" spans="2:13">
      <c r="B231" s="136">
        <f>+B229+1</f>
        <v>123</v>
      </c>
      <c r="C231" s="137"/>
      <c r="D231" s="177" t="s">
        <v>320</v>
      </c>
      <c r="E231" s="135"/>
      <c r="F231" s="135"/>
      <c r="G231" s="148"/>
      <c r="H231" s="148"/>
      <c r="I231" s="149"/>
      <c r="J231" s="150"/>
      <c r="K231" s="135"/>
      <c r="L231" s="148"/>
      <c r="M231" s="135"/>
    </row>
    <row r="232" spans="2:13" ht="15.75" thickBot="1">
      <c r="B232" s="136">
        <f t="shared" si="10"/>
        <v>124</v>
      </c>
      <c r="C232" s="137"/>
      <c r="D232" s="131" t="s">
        <v>493</v>
      </c>
      <c r="E232" s="135" t="s">
        <v>214</v>
      </c>
      <c r="F232" s="113">
        <v>0</v>
      </c>
      <c r="G232" s="113">
        <v>0</v>
      </c>
      <c r="H232" s="184">
        <f>+F232+G232</f>
        <v>0</v>
      </c>
      <c r="I232" s="149" t="s">
        <v>428</v>
      </c>
      <c r="J232" s="150">
        <v>0</v>
      </c>
      <c r="K232" s="242"/>
      <c r="L232" s="184">
        <f>(F232+G232)*J232</f>
        <v>0</v>
      </c>
      <c r="M232" s="135"/>
    </row>
    <row r="233" spans="2:13" ht="15.75">
      <c r="B233" s="136">
        <f t="shared" si="10"/>
        <v>125</v>
      </c>
      <c r="C233" s="137"/>
      <c r="D233" s="131" t="s">
        <v>420</v>
      </c>
      <c r="E233" s="135" t="str">
        <f>"(sum lns "&amp;B228&amp;", "&amp;B229&amp;", &amp; "&amp;B232&amp;")"</f>
        <v>(sum lns 121, 122, &amp; 124)</v>
      </c>
      <c r="F233" s="148">
        <f>SUM(F227:F232)</f>
        <v>0</v>
      </c>
      <c r="G233" s="135">
        <f>SUM(G227:G232)</f>
        <v>489526.3313051174</v>
      </c>
      <c r="H233" s="135">
        <f>SUM(H227:H232)</f>
        <v>489526.3313051174</v>
      </c>
      <c r="I233" s="149"/>
      <c r="J233" s="135"/>
      <c r="K233" s="135"/>
      <c r="L233" s="148">
        <f>SUM(L227:L232)</f>
        <v>489526.3313051174</v>
      </c>
      <c r="M233" s="170"/>
    </row>
    <row r="234" spans="2:13">
      <c r="B234" s="136"/>
      <c r="C234" s="137"/>
      <c r="D234" s="131" t="s">
        <v>416</v>
      </c>
      <c r="E234" s="135" t="s">
        <v>416</v>
      </c>
      <c r="F234" s="135"/>
      <c r="H234" s="135"/>
      <c r="I234" s="205"/>
    </row>
    <row r="235" spans="2:13" ht="15.75">
      <c r="B235" s="136">
        <f>B233+1</f>
        <v>126</v>
      </c>
      <c r="C235" s="137"/>
      <c r="D235" s="131" t="s">
        <v>376</v>
      </c>
      <c r="E235" s="135"/>
      <c r="F235" s="135"/>
      <c r="G235" s="135"/>
      <c r="H235" s="135"/>
      <c r="I235" s="205"/>
      <c r="K235" s="185" t="s">
        <v>377</v>
      </c>
      <c r="L235" s="243">
        <f>L233/(F233+G233)</f>
        <v>1</v>
      </c>
    </row>
    <row r="236" spans="2:13" ht="15.75">
      <c r="B236" s="136"/>
      <c r="C236" s="137"/>
      <c r="D236" s="131"/>
      <c r="E236" s="135"/>
      <c r="F236" s="135"/>
      <c r="G236" s="135"/>
      <c r="H236" s="135"/>
      <c r="I236" s="205"/>
      <c r="K236" s="185"/>
      <c r="L236" s="243"/>
    </row>
    <row r="237" spans="2:13" ht="15.75">
      <c r="B237" s="136"/>
      <c r="C237" s="137"/>
      <c r="D237" s="244" t="s">
        <v>157</v>
      </c>
      <c r="E237" s="135"/>
      <c r="F237" s="135"/>
      <c r="G237" s="135"/>
      <c r="H237" s="135"/>
      <c r="I237" s="149"/>
      <c r="J237" s="135"/>
      <c r="K237" s="135"/>
      <c r="L237" s="135"/>
      <c r="M237" s="135"/>
    </row>
    <row r="238" spans="2:13" ht="15.75" thickBot="1">
      <c r="B238" s="136">
        <f>B235+1</f>
        <v>127</v>
      </c>
      <c r="C238" s="137"/>
      <c r="D238" s="131" t="s">
        <v>490</v>
      </c>
      <c r="E238" s="135"/>
      <c r="F238" s="135"/>
      <c r="G238" s="135"/>
      <c r="H238" s="135"/>
      <c r="I238" s="135"/>
      <c r="J238" s="135"/>
      <c r="K238" s="135"/>
      <c r="L238" s="245" t="s">
        <v>444</v>
      </c>
      <c r="M238" s="135"/>
    </row>
    <row r="239" spans="2:13" ht="15.75">
      <c r="B239" s="136">
        <f>B238+1</f>
        <v>128</v>
      </c>
      <c r="C239" s="137"/>
      <c r="D239" s="135" t="s">
        <v>510</v>
      </c>
      <c r="E239" s="126" t="str">
        <f>"(Worksheet M, ln."&amp;'WS M - Cost of Capital'!A55&amp;", col."&amp;'WS M - Cost of Capital'!E47&amp;")"</f>
        <v>(Worksheet M, ln.36, col.(d))</v>
      </c>
      <c r="F239" s="135"/>
      <c r="G239" s="135"/>
      <c r="H239" s="135"/>
      <c r="I239" s="135"/>
      <c r="J239" s="175" t="s">
        <v>416</v>
      </c>
      <c r="K239" s="135"/>
      <c r="L239" s="246">
        <f>'WS M - Cost of Capital'!E55</f>
        <v>2352871.77</v>
      </c>
      <c r="M239" s="135"/>
    </row>
    <row r="240" spans="2:13">
      <c r="B240" s="136">
        <f t="shared" ref="B240:B246" si="13">B239+1</f>
        <v>129</v>
      </c>
      <c r="C240" s="137"/>
      <c r="D240" s="135" t="s">
        <v>511</v>
      </c>
      <c r="E240" s="126" t="str">
        <f>"(Worksheet M, ln. "&amp;'WS M - Cost of Capital'!A75&amp;", col."&amp;'WS M - Cost of Capital'!E47&amp;")"</f>
        <v>(Worksheet M, ln. 45, col.(d))</v>
      </c>
      <c r="F240" s="135"/>
      <c r="G240" s="135"/>
      <c r="H240" s="135"/>
      <c r="I240" s="135"/>
      <c r="J240" s="135"/>
      <c r="K240" s="135"/>
      <c r="L240" s="148">
        <f>'WS M - Cost of Capital'!E75</f>
        <v>0</v>
      </c>
      <c r="M240" s="135"/>
    </row>
    <row r="241" spans="2:13">
      <c r="B241" s="136">
        <f t="shared" si="13"/>
        <v>130</v>
      </c>
      <c r="C241" s="137"/>
      <c r="D241" s="247" t="s">
        <v>27</v>
      </c>
      <c r="E241" s="135"/>
      <c r="F241" s="135"/>
      <c r="G241" s="135"/>
      <c r="H241" s="3"/>
      <c r="I241" s="135"/>
      <c r="J241" s="135"/>
      <c r="K241" s="135"/>
      <c r="L241" s="148"/>
      <c r="M241" s="135"/>
    </row>
    <row r="242" spans="2:13">
      <c r="B242" s="136">
        <f t="shared" si="13"/>
        <v>131</v>
      </c>
      <c r="C242" s="137"/>
      <c r="D242" s="135" t="s">
        <v>28</v>
      </c>
      <c r="E242" s="126" t="str">
        <f>"(Worksheet M, ln. "&amp;'WS M - Cost of Capital'!A23&amp;", col."&amp;'WS M - Cost of Capital'!C8&amp;")"</f>
        <v>(Worksheet M, ln. 14, col.(b))</v>
      </c>
      <c r="F242" s="135"/>
      <c r="G242" s="131"/>
      <c r="H242" s="3"/>
      <c r="I242" s="135"/>
      <c r="J242" s="135"/>
      <c r="K242" s="135"/>
      <c r="L242" s="148">
        <f>'WS M - Cost of Capital'!C23</f>
        <v>76008164.990230769</v>
      </c>
      <c r="M242" s="135"/>
    </row>
    <row r="243" spans="2:13">
      <c r="B243" s="136">
        <f t="shared" si="13"/>
        <v>132</v>
      </c>
      <c r="C243" s="137"/>
      <c r="D243" s="135" t="s">
        <v>171</v>
      </c>
      <c r="E243" s="126" t="str">
        <f>"(Worksheet M, ln. "&amp;'WS M - Cost of Capital'!A23&amp;", col."&amp;'WS M - Cost of Capital'!D8&amp;")"</f>
        <v>(Worksheet M, ln. 14, col.(c))</v>
      </c>
      <c r="F243" s="135"/>
      <c r="G243" s="135"/>
      <c r="H243" s="3"/>
      <c r="I243" s="135"/>
      <c r="J243" s="135"/>
      <c r="K243" s="135"/>
      <c r="L243" s="148">
        <f>'WS M - Cost of Capital'!D23</f>
        <v>0</v>
      </c>
      <c r="M243" s="135"/>
    </row>
    <row r="244" spans="2:13">
      <c r="B244" s="136">
        <f t="shared" si="13"/>
        <v>133</v>
      </c>
      <c r="C244" s="137"/>
      <c r="D244" s="135" t="s">
        <v>164</v>
      </c>
      <c r="E244" s="126" t="str">
        <f>"(Worksheet M, ln. "&amp;'WS M - Cost of Capital'!A23&amp;", col."&amp;'WS M - Cost of Capital'!E8&amp;")"</f>
        <v>(Worksheet M, ln. 14, col.(d))</v>
      </c>
      <c r="F244" s="135"/>
      <c r="G244" s="135"/>
      <c r="H244" s="3"/>
      <c r="I244" s="135"/>
      <c r="J244" s="135"/>
      <c r="K244" s="135"/>
      <c r="L244" s="148">
        <f>'WS M - Cost of Capital'!E23</f>
        <v>0</v>
      </c>
      <c r="M244" s="135"/>
    </row>
    <row r="245" spans="2:13">
      <c r="B245" s="136">
        <f t="shared" si="13"/>
        <v>134</v>
      </c>
      <c r="C245" s="137"/>
      <c r="D245" s="135" t="s">
        <v>170</v>
      </c>
      <c r="E245" s="126" t="str">
        <f>"(Worksheet M, ln. "&amp;'WS M - Cost of Capital'!A23&amp;", col."&amp;'WS M - Cost of Capital'!F8&amp;")"</f>
        <v>(Worksheet M, ln. 14, col.(e))</v>
      </c>
      <c r="F245" s="135"/>
      <c r="G245" s="135"/>
      <c r="H245" s="3"/>
      <c r="I245" s="135"/>
      <c r="J245" s="135"/>
      <c r="K245" s="135"/>
      <c r="L245" s="905">
        <f>'WS M - Cost of Capital'!F23</f>
        <v>0</v>
      </c>
      <c r="M245" s="135"/>
    </row>
    <row r="246" spans="2:13">
      <c r="B246" s="136">
        <f t="shared" si="13"/>
        <v>135</v>
      </c>
      <c r="C246" s="137"/>
      <c r="D246" s="126" t="s">
        <v>29</v>
      </c>
      <c r="E246" s="248" t="str">
        <f>"(ln "&amp;B242&amp;" - ln "&amp;B243&amp;" - ln "&amp;B244&amp;" - ln "&amp;B245&amp;")"</f>
        <v>(ln 131 - ln 132 - ln 133 - ln 134)</v>
      </c>
      <c r="F246" s="144"/>
      <c r="H246" s="131"/>
      <c r="I246" s="131"/>
      <c r="J246" s="131"/>
      <c r="K246" s="131"/>
      <c r="L246" s="148">
        <f>L242-L243-L244-L245</f>
        <v>76008164.990230769</v>
      </c>
      <c r="M246" s="135"/>
    </row>
    <row r="247" spans="2:13" ht="15.75">
      <c r="B247" s="136"/>
      <c r="C247" s="137"/>
      <c r="D247" s="131"/>
      <c r="E247" s="135"/>
      <c r="F247" s="135"/>
      <c r="G247" s="1118" t="s">
        <v>272</v>
      </c>
      <c r="H247" s="1118"/>
      <c r="I247" s="135"/>
      <c r="J247" s="205" t="s">
        <v>445</v>
      </c>
      <c r="K247" s="135"/>
      <c r="L247" s="135"/>
      <c r="M247" s="135"/>
    </row>
    <row r="248" spans="2:13" ht="15.75" thickBot="1">
      <c r="B248" s="136"/>
      <c r="C248" s="137"/>
      <c r="D248" s="131"/>
      <c r="F248" s="135"/>
      <c r="G248" s="143" t="s">
        <v>444</v>
      </c>
      <c r="H248" s="143" t="s">
        <v>806</v>
      </c>
      <c r="I248" s="245" t="s">
        <v>805</v>
      </c>
      <c r="J248" s="249" t="s">
        <v>554</v>
      </c>
      <c r="K248" s="135"/>
      <c r="L248" s="143" t="s">
        <v>447</v>
      </c>
      <c r="M248" s="135"/>
    </row>
    <row r="249" spans="2:13" ht="15.75">
      <c r="B249" s="136">
        <f>B246+1</f>
        <v>136</v>
      </c>
      <c r="C249" s="137"/>
      <c r="D249" s="131" t="str">
        <f>"  Long Term Debt  (Note S) Worksheet M, ln "&amp;'WS M - Cost of Capital'!A42&amp;", col. (g), ln "&amp;'WS M - Cost of Capital'!A57&amp;", col. "&amp;'WS M - Cost of Capital'!E47&amp;")"</f>
        <v xml:space="preserve">  Long Term Debt  (Note S) Worksheet M, ln 28, col. (g), ln 37, col. (d))</v>
      </c>
      <c r="F249" s="175" t="s">
        <v>416</v>
      </c>
      <c r="G249" s="148">
        <f>'WS M - Cost of Capital'!H42</f>
        <v>62461538.461538464</v>
      </c>
      <c r="H249" s="157">
        <f>IF($G$252=0,0,G249/$G$252)</f>
        <v>0.45108451093993002</v>
      </c>
      <c r="I249" s="965">
        <f>IF(H251&gt;E254,1-I251,H249)</f>
        <v>0.45108451093993002</v>
      </c>
      <c r="J249" s="157">
        <f>IF(G249=0,0,L239/G249)</f>
        <v>3.7669129322660096E-2</v>
      </c>
      <c r="L249" s="1065">
        <f>IF(H251&gt;I251,I249*J249,H249*J249)</f>
        <v>1.6991960778045108E-2</v>
      </c>
      <c r="M249" s="135"/>
    </row>
    <row r="250" spans="2:13">
      <c r="B250" s="136">
        <f>B249+1</f>
        <v>137</v>
      </c>
      <c r="C250" s="137"/>
      <c r="D250" s="131" t="str">
        <f>"  Preferred Stock (ln "&amp;B243&amp;")"</f>
        <v xml:space="preserve">  Preferred Stock (ln 132)</v>
      </c>
      <c r="G250" s="148">
        <f>L243</f>
        <v>0</v>
      </c>
      <c r="H250" s="157">
        <f>IF($G$252=0,0,G250/$G$252)</f>
        <v>0</v>
      </c>
      <c r="I250" s="965">
        <f>H250</f>
        <v>0</v>
      </c>
      <c r="J250" s="157">
        <f>IF(G250=0,0,L240/G250)</f>
        <v>0</v>
      </c>
      <c r="L250" s="250">
        <f>I250*J250</f>
        <v>0</v>
      </c>
      <c r="M250" s="135"/>
    </row>
    <row r="251" spans="2:13" ht="15.75" thickBot="1">
      <c r="B251" s="136">
        <f>B250+1</f>
        <v>138</v>
      </c>
      <c r="C251" s="137"/>
      <c r="D251" s="131" t="str">
        <f>"  Common Stock (ln "&amp;B246&amp;")"</f>
        <v xml:space="preserve">  Common Stock (ln 135)</v>
      </c>
      <c r="G251" s="184">
        <f>L246</f>
        <v>76008164.990230769</v>
      </c>
      <c r="H251" s="975">
        <f>IF($G$252=0,0,G251/$G$252)</f>
        <v>0.54891548906006993</v>
      </c>
      <c r="I251" s="965">
        <f>IF(H251&gt;E254,E254,H251)</f>
        <v>0.54891548906006993</v>
      </c>
      <c r="J251" s="300">
        <v>0.10349999999999999</v>
      </c>
      <c r="L251" s="251">
        <f>IF(H251&gt;E254,E254*J251,H251*J251)</f>
        <v>5.6812753117717232E-2</v>
      </c>
      <c r="M251" s="135"/>
    </row>
    <row r="252" spans="2:13" ht="15.75">
      <c r="B252" s="136">
        <f>B251+1</f>
        <v>139</v>
      </c>
      <c r="C252" s="137"/>
      <c r="D252" s="131" t="str">
        <f>" Total (Sum lns "&amp;B249&amp;" to "&amp;B251&amp;")"</f>
        <v xml:space="preserve"> Total (Sum lns 136 to 138)</v>
      </c>
      <c r="G252" s="148">
        <f>SUM(G249:G251)</f>
        <v>138469703.45176923</v>
      </c>
      <c r="H252" s="158">
        <f>SUM(H249:H251)</f>
        <v>1</v>
      </c>
      <c r="I252" s="135"/>
      <c r="J252" s="252"/>
      <c r="K252" s="197" t="s">
        <v>362</v>
      </c>
      <c r="L252" s="253">
        <f>SUM(L249:L251)</f>
        <v>7.3804713895762347E-2</v>
      </c>
      <c r="M252" s="135"/>
    </row>
    <row r="253" spans="2:13" ht="15.75">
      <c r="B253" s="136"/>
      <c r="C253" s="137"/>
      <c r="D253" s="131"/>
      <c r="G253" s="148"/>
      <c r="H253" s="158"/>
      <c r="I253" s="135"/>
      <c r="J253" s="252"/>
      <c r="K253" s="197"/>
      <c r="L253" s="253"/>
      <c r="M253" s="135"/>
    </row>
    <row r="254" spans="2:13" ht="15.75">
      <c r="B254" s="136">
        <f>B252+1</f>
        <v>140</v>
      </c>
      <c r="C254" s="137"/>
      <c r="D254" s="131" t="s">
        <v>804</v>
      </c>
      <c r="E254" s="965">
        <v>0.55000000000000004</v>
      </c>
      <c r="G254" s="148"/>
      <c r="H254" s="158"/>
      <c r="I254" s="135"/>
      <c r="J254" s="252"/>
      <c r="K254" s="197"/>
      <c r="L254" s="253"/>
      <c r="M254" s="135"/>
    </row>
    <row r="255" spans="2:13">
      <c r="B255" s="136"/>
      <c r="C255" s="137"/>
      <c r="D255" s="131"/>
      <c r="F255" s="135"/>
      <c r="G255" s="135"/>
      <c r="H255" s="135"/>
      <c r="I255" s="149"/>
      <c r="J255" s="135"/>
      <c r="K255" s="135"/>
      <c r="L255" s="135"/>
      <c r="M255" s="135"/>
    </row>
    <row r="256" spans="2:13" ht="15.75" hidden="1">
      <c r="B256" s="254"/>
      <c r="C256" s="255"/>
      <c r="D256" s="256" t="s">
        <v>223</v>
      </c>
      <c r="E256" s="257"/>
      <c r="F256" s="258"/>
      <c r="G256" s="259"/>
      <c r="H256" s="258"/>
      <c r="I256" s="258"/>
      <c r="J256" s="258"/>
      <c r="K256" s="260"/>
      <c r="L256" s="261"/>
      <c r="M256" s="135"/>
    </row>
    <row r="257" spans="2:21" ht="15.75" hidden="1" thickBot="1">
      <c r="B257" s="254">
        <f>B254+1</f>
        <v>141</v>
      </c>
      <c r="C257" s="255"/>
      <c r="D257" s="262" t="s">
        <v>490</v>
      </c>
      <c r="E257" s="258"/>
      <c r="F257" s="258"/>
      <c r="G257" s="258"/>
      <c r="H257" s="258"/>
      <c r="I257" s="258"/>
      <c r="J257" s="258"/>
      <c r="K257" s="258"/>
      <c r="L257" s="263" t="s">
        <v>444</v>
      </c>
      <c r="M257" s="135"/>
    </row>
    <row r="258" spans="2:21" hidden="1">
      <c r="B258" s="254">
        <f t="shared" ref="B258:B265" si="14">+B257+1</f>
        <v>142</v>
      </c>
      <c r="C258" s="255"/>
      <c r="D258" s="258" t="s">
        <v>510</v>
      </c>
      <c r="E258" s="259" t="str">
        <f>"(Worksheet Q, ln. "&amp;'WS Q Cap Structure'!A199&amp;")"</f>
        <v>(Worksheet Q, ln. 132)</v>
      </c>
      <c r="F258" s="258"/>
      <c r="G258" s="258"/>
      <c r="H258" s="258"/>
      <c r="I258" s="258"/>
      <c r="J258" s="258"/>
      <c r="K258" s="258"/>
      <c r="L258" s="264">
        <f>'WS Q Cap Structure'!J199</f>
        <v>0</v>
      </c>
      <c r="M258" s="135"/>
    </row>
    <row r="259" spans="2:21" hidden="1">
      <c r="B259" s="254">
        <f t="shared" si="14"/>
        <v>143</v>
      </c>
      <c r="C259" s="255"/>
      <c r="D259" s="258" t="s">
        <v>511</v>
      </c>
      <c r="E259" s="259" t="str">
        <f>"(Worksheet Q, ln. "&amp;'WS Q Cap Structure'!A203&amp;")"</f>
        <v>(Worksheet Q, ln. 134)</v>
      </c>
      <c r="F259" s="258"/>
      <c r="G259" s="258"/>
      <c r="H259" s="258"/>
      <c r="I259" s="258"/>
      <c r="J259" s="258"/>
      <c r="K259" s="258"/>
      <c r="L259" s="264">
        <f>'WS Q Cap Structure'!J203</f>
        <v>0</v>
      </c>
      <c r="M259" s="135"/>
    </row>
    <row r="260" spans="2:21" hidden="1">
      <c r="B260" s="254">
        <f t="shared" si="14"/>
        <v>144</v>
      </c>
      <c r="C260" s="255"/>
      <c r="D260" s="265" t="s">
        <v>27</v>
      </c>
      <c r="E260" s="258"/>
      <c r="F260" s="258"/>
      <c r="G260" s="258"/>
      <c r="H260" s="266"/>
      <c r="I260" s="258"/>
      <c r="J260" s="258"/>
      <c r="K260" s="258"/>
      <c r="L260" s="264"/>
      <c r="M260" s="135"/>
    </row>
    <row r="261" spans="2:21" hidden="1">
      <c r="B261" s="254">
        <f t="shared" si="14"/>
        <v>145</v>
      </c>
      <c r="C261" s="255"/>
      <c r="D261" s="258" t="s">
        <v>28</v>
      </c>
      <c r="E261" s="259" t="str">
        <f>"(Worksheet Q, ln. "&amp;'WS Q Cap Structure'!A206&amp;")"</f>
        <v>(Worksheet Q, ln. 135)</v>
      </c>
      <c r="F261" s="258"/>
      <c r="G261" s="262"/>
      <c r="H261" s="267"/>
      <c r="I261" s="258"/>
      <c r="J261" s="258"/>
      <c r="K261" s="258"/>
      <c r="L261" s="268" t="e">
        <f>'WS Q Cap Structure'!J206</f>
        <v>#DIV/0!</v>
      </c>
      <c r="M261" s="135"/>
    </row>
    <row r="262" spans="2:21" hidden="1">
      <c r="B262" s="254">
        <f t="shared" si="14"/>
        <v>146</v>
      </c>
      <c r="C262" s="255"/>
      <c r="D262" s="258" t="s">
        <v>171</v>
      </c>
      <c r="E262" s="259" t="str">
        <f>"(Worksheet Q, ln. "&amp;'WS Q Cap Structure'!A207&amp;")"</f>
        <v>(Worksheet Q, ln. 136)</v>
      </c>
      <c r="F262" s="258"/>
      <c r="G262" s="258"/>
      <c r="H262" s="267"/>
      <c r="I262" s="258"/>
      <c r="J262" s="258"/>
      <c r="K262" s="258"/>
      <c r="L262" s="268">
        <f>'WS Q Cap Structure'!J207</f>
        <v>0</v>
      </c>
      <c r="M262" s="135"/>
    </row>
    <row r="263" spans="2:21" hidden="1">
      <c r="B263" s="254">
        <f>+B262+1</f>
        <v>147</v>
      </c>
      <c r="C263" s="255"/>
      <c r="D263" s="258" t="s">
        <v>164</v>
      </c>
      <c r="E263" s="259" t="str">
        <f>"(Worksheet Q, ln. "&amp;'WS Q Cap Structure'!A208&amp;")"</f>
        <v>(Worksheet Q, ln. 137)</v>
      </c>
      <c r="F263" s="258"/>
      <c r="G263" s="258"/>
      <c r="H263" s="267"/>
      <c r="I263" s="258"/>
      <c r="J263" s="258"/>
      <c r="K263" s="258"/>
      <c r="L263" s="268" t="e">
        <f>'WS Q Cap Structure'!J208</f>
        <v>#DIV/0!</v>
      </c>
      <c r="M263" s="135"/>
    </row>
    <row r="264" spans="2:21" ht="15.75" hidden="1" thickBot="1">
      <c r="B264" s="254">
        <f t="shared" si="14"/>
        <v>148</v>
      </c>
      <c r="C264" s="255"/>
      <c r="D264" s="258" t="s">
        <v>170</v>
      </c>
      <c r="E264" s="259" t="str">
        <f>"(Worksheet Q, ln. "&amp;'WS Q Cap Structure'!A209&amp;")"</f>
        <v>(Worksheet Q, ln. 138)</v>
      </c>
      <c r="F264" s="258"/>
      <c r="G264" s="258"/>
      <c r="H264" s="267"/>
      <c r="I264" s="258"/>
      <c r="J264" s="269"/>
      <c r="K264" s="258"/>
      <c r="L264" s="270" t="e">
        <f>'WS Q Cap Structure'!J209</f>
        <v>#DIV/0!</v>
      </c>
      <c r="M264" s="135"/>
    </row>
    <row r="265" spans="2:21" hidden="1">
      <c r="B265" s="254">
        <f t="shared" si="14"/>
        <v>149</v>
      </c>
      <c r="C265" s="255"/>
      <c r="D265" s="259" t="s">
        <v>29</v>
      </c>
      <c r="E265" s="258" t="str">
        <f>"(ln "&amp;B261&amp;" - ln "&amp;B262&amp;" - ln "&amp;B263&amp;" - ln "&amp;B264&amp;")"</f>
        <v>(ln 145 - ln 146 - ln 147 - ln 148)</v>
      </c>
      <c r="F265" s="257"/>
      <c r="G265" s="259"/>
      <c r="H265" s="262"/>
      <c r="I265" s="262"/>
      <c r="J265" s="262"/>
      <c r="K265" s="262"/>
      <c r="L265" s="264" t="e">
        <f>+L261-L262-L263-L264</f>
        <v>#DIV/0!</v>
      </c>
      <c r="M265" s="135"/>
    </row>
    <row r="266" spans="2:21" ht="15.75" hidden="1">
      <c r="B266" s="254"/>
      <c r="C266" s="255"/>
      <c r="D266" s="262"/>
      <c r="E266" s="258"/>
      <c r="F266" s="258"/>
      <c r="G266" s="1117"/>
      <c r="H266" s="1117"/>
      <c r="I266" s="271"/>
      <c r="J266" s="259"/>
      <c r="K266" s="258"/>
      <c r="L266" s="258"/>
      <c r="M266" s="135"/>
    </row>
    <row r="267" spans="2:21" ht="15.75" hidden="1" thickBot="1">
      <c r="B267" s="254">
        <f>+B265+1</f>
        <v>150</v>
      </c>
      <c r="C267" s="255"/>
      <c r="D267" s="262"/>
      <c r="E267" s="259"/>
      <c r="F267" s="259"/>
      <c r="G267" s="272" t="s">
        <v>446</v>
      </c>
      <c r="H267" s="272" t="s">
        <v>444</v>
      </c>
      <c r="I267" s="271"/>
      <c r="J267" s="273" t="s">
        <v>445</v>
      </c>
      <c r="K267" s="258"/>
      <c r="L267" s="272" t="s">
        <v>447</v>
      </c>
      <c r="M267" s="135"/>
      <c r="N267" s="131"/>
      <c r="O267" s="131"/>
      <c r="P267" s="131"/>
      <c r="Q267" s="131"/>
      <c r="R267" s="131"/>
      <c r="S267" s="131"/>
      <c r="T267" s="131"/>
      <c r="U267" s="131"/>
    </row>
    <row r="268" spans="2:21" hidden="1">
      <c r="B268" s="254">
        <f>+B267+1</f>
        <v>151</v>
      </c>
      <c r="C268" s="255"/>
      <c r="D268" s="262" t="str">
        <f>"  Long Term Debt   (Worksheet Q, ln "&amp;'WS Q Cap Structure'!A213&amp;")"</f>
        <v xml:space="preserve">  Long Term Debt   (Worksheet Q, ln 140)</v>
      </c>
      <c r="E268" s="259"/>
      <c r="F268" s="259"/>
      <c r="G268" s="274" t="e">
        <f>'WS Q Cap Structure'!J218</f>
        <v>#DIV/0!</v>
      </c>
      <c r="H268" s="264" t="e">
        <f>$H$271*G268</f>
        <v>#DIV/0!</v>
      </c>
      <c r="I268" s="275"/>
      <c r="J268" s="269" t="e">
        <f>+L258/H268</f>
        <v>#DIV/0!</v>
      </c>
      <c r="K268" s="259"/>
      <c r="L268" s="276" t="e">
        <f>+G268*J268</f>
        <v>#DIV/0!</v>
      </c>
      <c r="M268" s="277"/>
      <c r="N268" s="131"/>
      <c r="O268" s="131"/>
      <c r="P268" s="131"/>
      <c r="Q268" s="131"/>
      <c r="R268" s="131"/>
      <c r="S268" s="131"/>
      <c r="T268" s="131"/>
      <c r="U268" s="131"/>
    </row>
    <row r="269" spans="2:21" hidden="1">
      <c r="B269" s="254">
        <f>+B268+1</f>
        <v>152</v>
      </c>
      <c r="C269" s="255"/>
      <c r="D269" s="262" t="str">
        <f>"  Preferred Stock (Worksheet Q, ln "&amp;'WS Q Cap Structure'!A214&amp;")"</f>
        <v xml:space="preserve">  Preferred Stock (Worksheet Q, ln 141)</v>
      </c>
      <c r="E269" s="259"/>
      <c r="F269" s="259"/>
      <c r="G269" s="274" t="e">
        <f>'WS Q Cap Structure'!J219</f>
        <v>#DIV/0!</v>
      </c>
      <c r="H269" s="264" t="e">
        <f>$H$271*G269</f>
        <v>#DIV/0!</v>
      </c>
      <c r="I269" s="275"/>
      <c r="J269" s="269">
        <f>IF(L259=0,0,+L259/H269)</f>
        <v>0</v>
      </c>
      <c r="K269" s="259"/>
      <c r="L269" s="278" t="e">
        <f>+G269*J269</f>
        <v>#DIV/0!</v>
      </c>
      <c r="M269" s="135"/>
    </row>
    <row r="270" spans="2:21" ht="15.75" hidden="1" thickBot="1">
      <c r="B270" s="254">
        <f>+B269+1</f>
        <v>153</v>
      </c>
      <c r="C270" s="255"/>
      <c r="D270" s="262" t="str">
        <f>"  Common Stock (Worksheet Q, ln "&amp;'WS Q Cap Structure'!A215&amp;")"</f>
        <v xml:space="preserve">  Common Stock (Worksheet Q, ln 142)</v>
      </c>
      <c r="E270" s="259"/>
      <c r="F270" s="259"/>
      <c r="G270" s="274" t="e">
        <f>'WS Q Cap Structure'!J220</f>
        <v>#DIV/0!</v>
      </c>
      <c r="H270" s="279" t="e">
        <f>$H$271*G270</f>
        <v>#DIV/0!</v>
      </c>
      <c r="I270" s="275"/>
      <c r="J270" s="123">
        <f>J251</f>
        <v>0.10349999999999999</v>
      </c>
      <c r="K270" s="259"/>
      <c r="L270" s="280" t="e">
        <f>+G270*J270</f>
        <v>#DIV/0!</v>
      </c>
      <c r="M270" s="135"/>
    </row>
    <row r="271" spans="2:21" ht="15.75" hidden="1">
      <c r="B271" s="254">
        <f>+B270+1</f>
        <v>154</v>
      </c>
      <c r="C271" s="255"/>
      <c r="D271" s="262" t="str">
        <f>" Total (Worksheet Q, ln "&amp;'WS Q Cap Structure'!A216&amp;")"</f>
        <v xml:space="preserve"> Total (Worksheet Q, ln 143)</v>
      </c>
      <c r="E271" s="259"/>
      <c r="F271" s="259"/>
      <c r="G271" s="259"/>
      <c r="H271" s="264" t="e">
        <f>'WS Q Cap Structure'!J216</f>
        <v>#DIV/0!</v>
      </c>
      <c r="I271" s="271"/>
      <c r="J271" s="281"/>
      <c r="K271" s="282" t="s">
        <v>362</v>
      </c>
      <c r="L271" s="283" t="e">
        <f>SUM(L268:L270)</f>
        <v>#DIV/0!</v>
      </c>
      <c r="M271" s="284"/>
    </row>
    <row r="272" spans="2:21">
      <c r="B272" s="136"/>
      <c r="C272" s="41"/>
      <c r="D272" s="3"/>
      <c r="E272" s="41"/>
      <c r="F272"/>
      <c r="G272"/>
      <c r="H272"/>
      <c r="I272"/>
      <c r="J272" s="132"/>
      <c r="K272" s="132"/>
      <c r="L272" s="132"/>
      <c r="M272" s="132"/>
      <c r="N272" s="131"/>
      <c r="O272" s="131"/>
      <c r="P272" s="131"/>
      <c r="Q272" s="131"/>
      <c r="R272" s="131"/>
      <c r="S272" s="131"/>
      <c r="T272" s="131"/>
      <c r="U272" s="131"/>
    </row>
    <row r="273" spans="2:21">
      <c r="B273" s="136"/>
      <c r="C273" s="41"/>
      <c r="D273" s="41"/>
      <c r="E273"/>
      <c r="F273"/>
      <c r="G273"/>
      <c r="H273"/>
      <c r="I273"/>
      <c r="J273" s="135"/>
      <c r="K273" s="131"/>
      <c r="L273" s="135"/>
      <c r="M273" s="131"/>
      <c r="N273" s="131"/>
      <c r="O273" s="131"/>
      <c r="P273" s="131"/>
      <c r="Q273" s="131"/>
      <c r="R273" s="131"/>
      <c r="S273" s="131"/>
      <c r="T273" s="131"/>
      <c r="U273" s="131"/>
    </row>
    <row r="274" spans="2:21" ht="15.75">
      <c r="B274" s="203"/>
      <c r="C274" s="137"/>
      <c r="D274" s="127"/>
      <c r="E274" s="127"/>
      <c r="F274" s="205" t="str">
        <f>F202</f>
        <v>AEPTCo subsidiaries in PJM</v>
      </c>
      <c r="G274" s="128"/>
      <c r="H274" s="135"/>
      <c r="I274" s="135"/>
      <c r="J274" s="135"/>
      <c r="K274" s="131"/>
      <c r="L274" s="135"/>
      <c r="M274" s="166"/>
      <c r="N274" s="131"/>
      <c r="O274" s="131"/>
      <c r="P274" s="131"/>
      <c r="Q274" s="131"/>
      <c r="R274" s="131"/>
      <c r="S274" s="131"/>
      <c r="T274" s="131"/>
      <c r="U274" s="131"/>
    </row>
    <row r="275" spans="2:21">
      <c r="B275" s="203"/>
      <c r="C275" s="137"/>
      <c r="E275" s="137"/>
      <c r="F275" s="205" t="str">
        <f>F203</f>
        <v>Transmission Cost of Service Formula Rate</v>
      </c>
      <c r="G275" s="135"/>
      <c r="H275" s="135"/>
      <c r="I275" s="135"/>
      <c r="J275" s="135"/>
      <c r="K275" s="131"/>
      <c r="L275" s="145"/>
      <c r="M275" s="166"/>
      <c r="N275" s="131"/>
      <c r="O275" s="131"/>
      <c r="P275" s="131"/>
      <c r="Q275" s="131"/>
      <c r="R275" s="131"/>
      <c r="S275" s="131"/>
      <c r="T275" s="131"/>
      <c r="U275" s="131"/>
    </row>
    <row r="276" spans="2:21" ht="15.75">
      <c r="B276" s="203"/>
      <c r="C276" s="137"/>
      <c r="E276" s="206"/>
      <c r="F276" s="205" t="str">
        <f>F204</f>
        <v>Utilizing  Actual/Projected FERC Form 1 Data</v>
      </c>
      <c r="G276" s="135"/>
      <c r="H276" s="135"/>
      <c r="I276" s="135"/>
      <c r="J276" s="135"/>
      <c r="K276" s="131"/>
      <c r="L276" s="145"/>
      <c r="M276" s="166"/>
      <c r="N276" s="131"/>
      <c r="O276" s="131"/>
      <c r="P276" s="131"/>
      <c r="Q276" s="131"/>
      <c r="R276" s="131"/>
      <c r="S276" s="131"/>
      <c r="T276" s="131"/>
      <c r="U276" s="131"/>
    </row>
    <row r="277" spans="2:21" ht="15.75">
      <c r="B277" s="136"/>
      <c r="C277" s="137"/>
      <c r="E277" s="206"/>
      <c r="F277" s="205"/>
      <c r="G277" s="135"/>
      <c r="H277" s="135"/>
      <c r="I277" s="135"/>
      <c r="J277" s="135"/>
      <c r="K277" s="131"/>
      <c r="L277" s="145"/>
      <c r="N277" s="131"/>
      <c r="O277" s="131"/>
      <c r="P277" s="131"/>
      <c r="Q277" s="131"/>
      <c r="R277" s="131"/>
      <c r="S277" s="131"/>
      <c r="T277" s="131"/>
      <c r="U277" s="131"/>
    </row>
    <row r="278" spans="2:21" ht="15.75">
      <c r="B278" s="136"/>
      <c r="C278" s="137"/>
      <c r="E278" s="206"/>
      <c r="F278" s="205" t="str">
        <f>F206</f>
        <v>AEP Kentucky Transmission Company</v>
      </c>
      <c r="G278" s="135"/>
      <c r="H278" s="135"/>
      <c r="I278" s="135"/>
      <c r="J278" s="135"/>
      <c r="K278" s="131"/>
      <c r="L278" s="145"/>
      <c r="N278" s="131"/>
      <c r="O278" s="131"/>
      <c r="P278" s="131"/>
      <c r="Q278" s="131"/>
      <c r="R278" s="131"/>
      <c r="S278" s="131"/>
      <c r="T278" s="131"/>
      <c r="U278" s="131"/>
    </row>
    <row r="279" spans="2:21" ht="15.75">
      <c r="B279" s="136"/>
      <c r="C279" s="137"/>
      <c r="E279" s="206"/>
      <c r="F279" s="205"/>
      <c r="G279" s="135"/>
      <c r="H279" s="135"/>
      <c r="I279" s="135"/>
      <c r="J279" s="135"/>
      <c r="K279" s="131"/>
      <c r="L279" s="145"/>
      <c r="N279" s="131"/>
      <c r="O279" s="131"/>
      <c r="P279" s="131"/>
      <c r="Q279" s="131"/>
      <c r="R279" s="131"/>
      <c r="S279" s="131"/>
      <c r="T279" s="131"/>
      <c r="U279" s="131"/>
    </row>
    <row r="280" spans="2:21" ht="15.75">
      <c r="B280" s="174" t="s">
        <v>476</v>
      </c>
      <c r="C280" s="137"/>
      <c r="D280" s="131"/>
      <c r="E280" s="131"/>
      <c r="F280" s="174" t="s">
        <v>475</v>
      </c>
      <c r="G280" s="135"/>
      <c r="H280" s="135"/>
      <c r="I280" s="135"/>
      <c r="J280" s="135" t="s">
        <v>624</v>
      </c>
      <c r="K280" s="131"/>
      <c r="L280" s="135"/>
      <c r="N280" s="131"/>
      <c r="O280" s="131"/>
      <c r="P280" s="131"/>
      <c r="Q280" s="131"/>
      <c r="R280" s="131"/>
      <c r="S280" s="131"/>
      <c r="T280" s="131"/>
      <c r="U280" s="131"/>
    </row>
    <row r="281" spans="2:21">
      <c r="C281" s="137"/>
      <c r="L281" s="145"/>
      <c r="N281" s="131"/>
      <c r="O281" s="131"/>
      <c r="P281" s="131"/>
      <c r="Q281" s="131"/>
      <c r="R281" s="131"/>
      <c r="S281" s="131"/>
      <c r="T281" s="131"/>
      <c r="U281" s="131"/>
    </row>
    <row r="282" spans="2:21">
      <c r="B282" s="136"/>
      <c r="C282" s="137"/>
      <c r="D282" s="131" t="s">
        <v>332</v>
      </c>
      <c r="E282" s="137"/>
      <c r="F282" s="137"/>
      <c r="G282" s="135"/>
      <c r="H282" s="135"/>
      <c r="I282" s="135"/>
      <c r="J282" s="135"/>
      <c r="K282" s="131"/>
      <c r="L282" s="135"/>
      <c r="M282" s="131"/>
      <c r="N282" s="131"/>
      <c r="O282" s="131"/>
      <c r="P282" s="131"/>
      <c r="Q282" s="131"/>
      <c r="R282" s="131"/>
      <c r="S282" s="131"/>
      <c r="T282" s="131"/>
      <c r="U282" s="131"/>
    </row>
    <row r="283" spans="2:21">
      <c r="B283" s="126"/>
      <c r="D283" s="131"/>
      <c r="E283" s="131"/>
      <c r="F283" s="131"/>
      <c r="G283" s="135"/>
      <c r="H283" s="135"/>
      <c r="I283" s="135"/>
      <c r="J283" s="135"/>
      <c r="K283" s="131"/>
      <c r="L283" s="135"/>
      <c r="M283" s="131"/>
      <c r="N283" s="131"/>
      <c r="O283" s="131"/>
      <c r="P283" s="131"/>
      <c r="Q283" s="131"/>
      <c r="R283" s="131"/>
      <c r="S283" s="131"/>
      <c r="T283" s="131"/>
      <c r="U283" s="131"/>
    </row>
    <row r="284" spans="2:21">
      <c r="B284" s="126"/>
      <c r="D284" s="131"/>
      <c r="E284" s="131"/>
      <c r="F284" s="131"/>
      <c r="G284" s="135"/>
      <c r="H284" s="135"/>
      <c r="I284" s="135"/>
      <c r="J284" s="135"/>
      <c r="K284" s="131"/>
      <c r="L284" s="135"/>
      <c r="M284" s="131"/>
      <c r="N284" s="131"/>
      <c r="O284" s="131"/>
      <c r="P284" s="131"/>
      <c r="Q284" s="131"/>
      <c r="R284" s="131"/>
      <c r="S284" s="131"/>
      <c r="T284" s="131"/>
      <c r="U284" s="131"/>
    </row>
    <row r="285" spans="2:21">
      <c r="B285" s="285" t="s">
        <v>448</v>
      </c>
      <c r="C285" s="137"/>
      <c r="D285" s="131" t="s">
        <v>274</v>
      </c>
      <c r="E285" s="131"/>
      <c r="F285" s="131"/>
      <c r="G285" s="135"/>
      <c r="H285" s="135"/>
      <c r="I285" s="135"/>
      <c r="J285" s="135"/>
      <c r="K285" s="131"/>
      <c r="L285" s="135"/>
      <c r="M285" s="131"/>
      <c r="N285" s="131"/>
      <c r="O285" s="131"/>
      <c r="P285" s="131"/>
      <c r="Q285" s="131"/>
      <c r="R285" s="131"/>
      <c r="S285" s="131"/>
      <c r="T285" s="131"/>
      <c r="U285" s="131"/>
    </row>
    <row r="286" spans="2:21">
      <c r="B286" s="285"/>
      <c r="C286" s="205"/>
      <c r="D286" s="131" t="s">
        <v>172</v>
      </c>
      <c r="E286" s="131"/>
      <c r="F286" s="131"/>
      <c r="G286" s="131"/>
      <c r="H286" s="131"/>
      <c r="I286" s="131"/>
      <c r="J286" s="131"/>
      <c r="K286" s="131"/>
      <c r="L286" s="131"/>
      <c r="M286" s="131"/>
      <c r="N286" s="131"/>
      <c r="O286" s="131"/>
      <c r="P286" s="131"/>
      <c r="Q286" s="131"/>
      <c r="R286" s="131"/>
      <c r="S286" s="131"/>
      <c r="T286" s="131"/>
      <c r="U286" s="131"/>
    </row>
    <row r="287" spans="2:21">
      <c r="D287" s="126" t="s">
        <v>173</v>
      </c>
      <c r="E287" s="157"/>
      <c r="F287" s="157"/>
      <c r="G287" s="131"/>
      <c r="H287" s="131"/>
      <c r="I287" s="131"/>
      <c r="J287" s="131"/>
      <c r="K287" s="131"/>
      <c r="L287" s="131"/>
      <c r="M287" s="131"/>
      <c r="N287" s="131"/>
      <c r="O287" s="131"/>
      <c r="P287" s="131"/>
      <c r="Q287" s="131"/>
      <c r="R287" s="131"/>
      <c r="S287" s="131"/>
      <c r="T287" s="131"/>
      <c r="U287" s="131"/>
    </row>
    <row r="288" spans="2:21">
      <c r="D288" s="131" t="s">
        <v>275</v>
      </c>
      <c r="E288" s="131"/>
      <c r="F288" s="131"/>
      <c r="G288" s="131"/>
      <c r="H288" s="131"/>
      <c r="I288" s="131"/>
      <c r="J288" s="131"/>
      <c r="K288" s="131"/>
      <c r="L288" s="131"/>
      <c r="M288" s="131"/>
      <c r="N288" s="131"/>
      <c r="O288" s="131"/>
      <c r="P288" s="131"/>
      <c r="Q288" s="131"/>
      <c r="R288" s="131"/>
      <c r="S288" s="131"/>
      <c r="T288" s="131"/>
      <c r="U288" s="131"/>
    </row>
    <row r="289" spans="2:21">
      <c r="B289" s="136"/>
      <c r="C289" s="137"/>
      <c r="D289" s="131" t="s">
        <v>276</v>
      </c>
      <c r="E289" s="131"/>
      <c r="F289" s="131"/>
      <c r="G289" s="131"/>
      <c r="H289" s="131"/>
      <c r="I289" s="131"/>
      <c r="J289" s="131"/>
      <c r="K289" s="131"/>
      <c r="L289" s="131"/>
      <c r="M289" s="131"/>
      <c r="N289" s="131"/>
      <c r="O289" s="131"/>
      <c r="P289" s="131"/>
      <c r="Q289" s="131"/>
      <c r="R289" s="131"/>
      <c r="S289" s="131"/>
      <c r="T289" s="131"/>
      <c r="U289" s="131"/>
    </row>
    <row r="290" spans="2:21">
      <c r="B290" s="136"/>
      <c r="C290" s="137"/>
      <c r="D290" s="131" t="s">
        <v>174</v>
      </c>
      <c r="E290" s="131"/>
      <c r="F290" s="131"/>
      <c r="G290" s="131"/>
      <c r="H290" s="131"/>
      <c r="I290" s="131"/>
      <c r="J290" s="131"/>
      <c r="K290" s="131"/>
      <c r="L290" s="131"/>
      <c r="M290" s="131"/>
      <c r="N290" s="131"/>
      <c r="O290" s="131"/>
      <c r="P290" s="131"/>
      <c r="Q290" s="131"/>
      <c r="R290" s="131"/>
      <c r="S290" s="131"/>
      <c r="T290" s="131"/>
      <c r="U290" s="131"/>
    </row>
    <row r="291" spans="2:21">
      <c r="B291" s="136"/>
      <c r="C291" s="137"/>
      <c r="D291" s="131" t="s">
        <v>175</v>
      </c>
      <c r="E291" s="131"/>
      <c r="F291" s="131"/>
      <c r="G291" s="131"/>
      <c r="H291" s="131"/>
      <c r="I291" s="131"/>
      <c r="J291" s="131"/>
      <c r="K291" s="131"/>
      <c r="L291" s="131"/>
      <c r="M291" s="131"/>
      <c r="N291" s="131"/>
      <c r="O291" s="131"/>
      <c r="P291" s="131"/>
      <c r="Q291" s="131"/>
      <c r="R291" s="131"/>
      <c r="S291" s="131"/>
      <c r="T291" s="131"/>
      <c r="U291" s="131"/>
    </row>
    <row r="292" spans="2:21">
      <c r="B292" s="136"/>
      <c r="C292" s="137"/>
      <c r="D292" s="131" t="s">
        <v>613</v>
      </c>
      <c r="E292" s="131"/>
      <c r="F292" s="131"/>
      <c r="G292" s="131"/>
      <c r="H292" s="131"/>
      <c r="I292" s="131"/>
      <c r="J292" s="131"/>
      <c r="K292" s="131"/>
      <c r="L292" s="131"/>
      <c r="M292" s="131"/>
      <c r="N292" s="131"/>
      <c r="O292" s="131"/>
      <c r="P292" s="131"/>
      <c r="Q292" s="131"/>
      <c r="R292" s="131"/>
      <c r="S292" s="131"/>
      <c r="T292" s="131"/>
      <c r="U292" s="131"/>
    </row>
    <row r="293" spans="2:21">
      <c r="B293" s="136"/>
      <c r="C293" s="137"/>
      <c r="D293" s="131" t="s">
        <v>600</v>
      </c>
      <c r="E293" s="131"/>
      <c r="F293" s="131"/>
      <c r="G293" s="131"/>
      <c r="H293" s="131"/>
      <c r="I293" s="131"/>
      <c r="J293" s="131"/>
      <c r="K293" s="131"/>
      <c r="L293" s="131"/>
      <c r="M293" s="131"/>
      <c r="N293" s="131"/>
      <c r="O293" s="131"/>
      <c r="P293" s="131"/>
      <c r="Q293" s="131"/>
      <c r="R293" s="131"/>
      <c r="S293" s="131"/>
      <c r="T293" s="131"/>
      <c r="U293" s="131"/>
    </row>
    <row r="294" spans="2:21">
      <c r="B294" s="136"/>
      <c r="C294" s="137"/>
      <c r="D294" s="131" t="s">
        <v>614</v>
      </c>
      <c r="E294" s="131"/>
      <c r="F294" s="131"/>
      <c r="G294" s="131"/>
      <c r="H294" s="131"/>
      <c r="I294" s="131"/>
      <c r="J294" s="131"/>
      <c r="K294" s="131"/>
      <c r="L294" s="131"/>
      <c r="M294" s="131"/>
      <c r="N294" s="131"/>
      <c r="O294" s="131"/>
      <c r="P294" s="131"/>
      <c r="Q294" s="131"/>
      <c r="R294" s="131"/>
      <c r="S294" s="131"/>
      <c r="T294" s="131"/>
      <c r="U294" s="131"/>
    </row>
    <row r="295" spans="2:21">
      <c r="B295" s="136"/>
      <c r="C295" s="137"/>
      <c r="D295" s="131" t="s">
        <v>601</v>
      </c>
      <c r="E295" s="131"/>
      <c r="F295" s="131"/>
      <c r="G295" s="131"/>
      <c r="H295" s="131"/>
      <c r="I295" s="131"/>
      <c r="J295" s="131"/>
      <c r="K295" s="131"/>
      <c r="L295" s="131"/>
      <c r="M295" s="131"/>
      <c r="N295" s="131"/>
      <c r="O295" s="131"/>
      <c r="P295" s="131"/>
      <c r="Q295" s="131"/>
      <c r="R295" s="131"/>
      <c r="S295" s="131"/>
      <c r="T295" s="131"/>
      <c r="U295" s="131"/>
    </row>
    <row r="296" spans="2:21">
      <c r="B296" s="136"/>
      <c r="C296" s="137"/>
      <c r="D296" s="131" t="s">
        <v>281</v>
      </c>
      <c r="E296" s="131"/>
      <c r="F296" s="131"/>
      <c r="G296" s="131"/>
      <c r="H296" s="131"/>
      <c r="I296" s="131"/>
      <c r="J296" s="131"/>
      <c r="K296" s="131"/>
      <c r="L296" s="131"/>
      <c r="M296" s="131"/>
      <c r="N296" s="131"/>
      <c r="O296" s="131"/>
      <c r="P296" s="131"/>
      <c r="Q296" s="131"/>
      <c r="R296" s="131"/>
      <c r="S296" s="131"/>
      <c r="T296" s="131"/>
      <c r="U296" s="131"/>
    </row>
    <row r="297" spans="2:21">
      <c r="B297" s="136"/>
      <c r="C297" s="137"/>
      <c r="D297" s="132"/>
      <c r="E297" s="131"/>
      <c r="F297" s="131"/>
      <c r="G297" s="131"/>
      <c r="H297" s="131"/>
      <c r="I297" s="131"/>
      <c r="J297" s="131"/>
      <c r="K297" s="131"/>
      <c r="L297" s="131"/>
      <c r="M297" s="131"/>
      <c r="N297" s="131"/>
      <c r="O297" s="131"/>
      <c r="P297" s="131"/>
      <c r="Q297" s="131"/>
      <c r="R297" s="131"/>
      <c r="S297" s="131"/>
      <c r="T297" s="131"/>
      <c r="U297" s="131"/>
    </row>
    <row r="298" spans="2:21" ht="15" customHeight="1">
      <c r="B298" s="136" t="s">
        <v>449</v>
      </c>
      <c r="C298" s="137"/>
      <c r="D298" s="1119" t="s">
        <v>615</v>
      </c>
      <c r="E298" s="1120"/>
      <c r="F298" s="1120"/>
      <c r="G298" s="1120"/>
      <c r="H298" s="1120"/>
      <c r="I298" s="1120"/>
      <c r="J298" s="1120"/>
      <c r="K298" s="1120"/>
      <c r="L298" s="131"/>
      <c r="M298" s="131"/>
      <c r="N298" s="131"/>
      <c r="O298" s="131"/>
      <c r="P298" s="131"/>
      <c r="Q298" s="131"/>
      <c r="R298" s="131"/>
      <c r="S298" s="131"/>
      <c r="T298" s="131"/>
      <c r="U298" s="131"/>
    </row>
    <row r="299" spans="2:21">
      <c r="B299" s="136"/>
      <c r="C299" s="137"/>
      <c r="D299" s="1120"/>
      <c r="E299" s="1120"/>
      <c r="F299" s="1120"/>
      <c r="G299" s="1120"/>
      <c r="H299" s="1120"/>
      <c r="I299" s="1120"/>
      <c r="J299" s="1120"/>
      <c r="K299" s="1120"/>
      <c r="L299" s="131"/>
      <c r="M299" s="131"/>
      <c r="N299" s="131"/>
      <c r="O299" s="131"/>
      <c r="P299" s="131"/>
      <c r="Q299" s="131"/>
      <c r="R299" s="131"/>
      <c r="S299" s="131"/>
      <c r="T299" s="131"/>
      <c r="U299" s="131"/>
    </row>
    <row r="300" spans="2:21">
      <c r="E300" s="131"/>
      <c r="F300" s="131"/>
      <c r="G300" s="131"/>
      <c r="H300" s="131"/>
      <c r="I300" s="131"/>
      <c r="J300" s="131"/>
      <c r="K300" s="131"/>
      <c r="L300" s="131"/>
      <c r="M300" s="131"/>
      <c r="N300" s="131"/>
      <c r="O300" s="131"/>
      <c r="P300" s="131"/>
      <c r="Q300" s="131"/>
      <c r="R300" s="131"/>
      <c r="S300" s="131"/>
      <c r="T300" s="131"/>
      <c r="U300" s="131"/>
    </row>
    <row r="301" spans="2:21">
      <c r="B301" s="136" t="s">
        <v>450</v>
      </c>
      <c r="C301" s="137"/>
      <c r="D301" s="132" t="s">
        <v>801</v>
      </c>
      <c r="E301" s="131"/>
      <c r="F301" s="131"/>
      <c r="G301" s="131"/>
      <c r="H301" s="131"/>
      <c r="I301" s="131"/>
      <c r="J301" s="131"/>
      <c r="K301" s="131"/>
      <c r="L301" s="131"/>
      <c r="M301" s="131"/>
      <c r="N301" s="131"/>
      <c r="O301" s="131"/>
      <c r="P301" s="131"/>
      <c r="Q301" s="131"/>
      <c r="R301" s="131"/>
      <c r="S301" s="131"/>
      <c r="T301" s="131"/>
      <c r="U301" s="131"/>
    </row>
    <row r="302" spans="2:21">
      <c r="B302" s="136"/>
      <c r="C302" s="137"/>
      <c r="D302" s="132"/>
      <c r="E302" s="131"/>
      <c r="F302" s="131"/>
      <c r="G302" s="131"/>
      <c r="H302" s="131"/>
      <c r="I302" s="131"/>
      <c r="J302" s="131"/>
      <c r="K302" s="131"/>
      <c r="L302" s="131"/>
      <c r="M302" s="131"/>
      <c r="N302" s="131"/>
      <c r="O302" s="131"/>
      <c r="P302" s="131"/>
      <c r="Q302" s="131"/>
      <c r="R302" s="131"/>
      <c r="S302" s="131"/>
      <c r="T302" s="131"/>
      <c r="U302" s="131"/>
    </row>
    <row r="303" spans="2:21">
      <c r="B303" s="136" t="s">
        <v>451</v>
      </c>
      <c r="C303" s="137"/>
      <c r="D303" s="131" t="s">
        <v>30</v>
      </c>
      <c r="E303" s="131"/>
      <c r="F303" s="131"/>
      <c r="G303" s="131"/>
      <c r="H303" s="131"/>
      <c r="I303" s="131"/>
      <c r="J303" s="131"/>
      <c r="K303" s="131"/>
      <c r="L303" s="131"/>
      <c r="M303" s="131"/>
      <c r="N303" s="131"/>
      <c r="O303" s="131"/>
      <c r="P303" s="131"/>
      <c r="Q303" s="131"/>
      <c r="R303" s="131"/>
      <c r="S303" s="131"/>
      <c r="T303" s="131"/>
      <c r="U303" s="131"/>
    </row>
    <row r="304" spans="2:21">
      <c r="B304" s="136"/>
      <c r="C304" s="137"/>
      <c r="D304" s="131" t="s">
        <v>287</v>
      </c>
      <c r="E304" s="131"/>
      <c r="F304" s="131"/>
      <c r="G304" s="131"/>
      <c r="H304" s="131"/>
      <c r="I304" s="131"/>
      <c r="J304" s="131"/>
      <c r="K304" s="131"/>
      <c r="L304" s="131"/>
      <c r="M304" s="131"/>
      <c r="N304" s="131"/>
      <c r="O304" s="131"/>
      <c r="P304" s="131"/>
      <c r="Q304" s="131"/>
      <c r="R304" s="131"/>
      <c r="S304" s="131"/>
      <c r="T304" s="131"/>
      <c r="U304" s="131"/>
    </row>
    <row r="305" spans="2:21">
      <c r="B305" s="136"/>
      <c r="C305" s="137"/>
      <c r="D305" s="131" t="s">
        <v>293</v>
      </c>
      <c r="E305" s="131"/>
      <c r="F305" s="131"/>
      <c r="G305" s="131"/>
      <c r="H305" s="131"/>
      <c r="I305" s="131"/>
      <c r="J305" s="131"/>
      <c r="K305" s="131"/>
      <c r="L305" s="131"/>
      <c r="M305" s="131"/>
      <c r="N305" s="131"/>
      <c r="O305" s="131"/>
      <c r="P305" s="131"/>
      <c r="Q305" s="131"/>
      <c r="R305" s="131"/>
      <c r="S305" s="131"/>
      <c r="T305" s="131"/>
      <c r="U305" s="131"/>
    </row>
    <row r="306" spans="2:21">
      <c r="B306" s="136"/>
      <c r="C306" s="137"/>
      <c r="D306" s="131" t="s">
        <v>162</v>
      </c>
      <c r="E306" s="131"/>
      <c r="F306" s="131"/>
      <c r="G306" s="131"/>
      <c r="H306" s="131"/>
      <c r="I306" s="131"/>
      <c r="J306" s="131"/>
      <c r="K306" s="131"/>
      <c r="L306" s="131"/>
      <c r="M306" s="131"/>
      <c r="N306" s="131"/>
      <c r="O306" s="131"/>
      <c r="P306" s="131"/>
      <c r="Q306" s="131"/>
      <c r="R306" s="131"/>
      <c r="S306" s="131"/>
      <c r="T306" s="131"/>
      <c r="U306" s="131"/>
    </row>
    <row r="307" spans="2:21">
      <c r="B307" s="136"/>
      <c r="C307" s="137"/>
      <c r="D307" s="131" t="s">
        <v>602</v>
      </c>
      <c r="E307" s="131"/>
      <c r="F307" s="131"/>
      <c r="G307" s="131"/>
      <c r="H307" s="131"/>
      <c r="I307" s="131"/>
      <c r="J307" s="131"/>
      <c r="K307" s="131"/>
      <c r="L307" s="131"/>
      <c r="M307" s="131"/>
      <c r="N307" s="131"/>
      <c r="O307" s="131"/>
      <c r="P307" s="131"/>
      <c r="Q307" s="131"/>
      <c r="R307" s="131"/>
      <c r="S307" s="131"/>
      <c r="T307" s="131"/>
      <c r="U307" s="131"/>
    </row>
    <row r="308" spans="2:21">
      <c r="B308" s="136"/>
      <c r="C308" s="137"/>
      <c r="D308" s="131" t="s">
        <v>603</v>
      </c>
      <c r="E308" s="131"/>
      <c r="F308" s="131"/>
      <c r="G308" s="131"/>
      <c r="H308" s="131"/>
      <c r="I308" s="131"/>
      <c r="J308" s="131"/>
      <c r="K308" s="131"/>
      <c r="L308" s="131"/>
      <c r="M308" s="131"/>
      <c r="N308" s="131"/>
      <c r="O308" s="131"/>
      <c r="P308" s="131"/>
      <c r="Q308" s="131"/>
      <c r="R308" s="131"/>
      <c r="S308" s="131"/>
      <c r="T308" s="131"/>
      <c r="U308" s="131"/>
    </row>
    <row r="309" spans="2:21">
      <c r="B309" s="136"/>
      <c r="C309" s="137"/>
      <c r="D309" s="131" t="s">
        <v>604</v>
      </c>
      <c r="E309" s="131"/>
      <c r="F309" s="131"/>
      <c r="G309" s="131"/>
      <c r="H309" s="131"/>
      <c r="I309" s="131"/>
      <c r="J309" s="131"/>
      <c r="K309" s="131"/>
      <c r="L309" s="131"/>
      <c r="M309" s="131"/>
      <c r="N309" s="131"/>
      <c r="O309" s="131"/>
      <c r="P309" s="131"/>
      <c r="Q309" s="131"/>
      <c r="R309" s="131"/>
      <c r="S309" s="131"/>
      <c r="T309" s="131"/>
      <c r="U309" s="131"/>
    </row>
    <row r="310" spans="2:21">
      <c r="B310" s="136"/>
      <c r="C310" s="137"/>
      <c r="D310" s="131" t="s">
        <v>108</v>
      </c>
      <c r="E310" s="131"/>
      <c r="F310" s="131"/>
      <c r="G310" s="131"/>
      <c r="H310" s="131"/>
      <c r="I310" s="131"/>
      <c r="J310" s="131"/>
      <c r="K310" s="131"/>
      <c r="L310" s="131"/>
      <c r="M310" s="131"/>
      <c r="N310" s="131"/>
      <c r="O310" s="131"/>
      <c r="P310" s="131"/>
      <c r="Q310" s="131"/>
      <c r="R310" s="131"/>
      <c r="S310" s="131"/>
      <c r="T310" s="131"/>
      <c r="U310" s="131"/>
    </row>
    <row r="311" spans="2:21">
      <c r="B311" s="136"/>
      <c r="C311" s="137"/>
      <c r="D311" s="131"/>
      <c r="E311" s="131"/>
      <c r="F311" s="131"/>
      <c r="G311" s="131"/>
      <c r="H311" s="131"/>
      <c r="I311" s="131"/>
      <c r="J311" s="131"/>
      <c r="K311" s="131"/>
      <c r="L311" s="131"/>
      <c r="M311" s="131"/>
      <c r="N311" s="131"/>
      <c r="O311" s="131"/>
      <c r="P311" s="131"/>
      <c r="Q311" s="131"/>
      <c r="R311" s="131"/>
      <c r="S311" s="131"/>
      <c r="T311" s="131"/>
      <c r="U311" s="131"/>
    </row>
    <row r="312" spans="2:21">
      <c r="B312" s="136" t="s">
        <v>452</v>
      </c>
      <c r="C312" s="131"/>
      <c r="D312" s="131" t="str">
        <f>"Cash Working Capital assigned to transmission is one-eighth of O&amp;M allocated to transmission, as shown on line "&amp;B140&amp;". It excludes:"</f>
        <v>Cash Working Capital assigned to transmission is one-eighth of O&amp;M allocated to transmission, as shown on line 66. It excludes:</v>
      </c>
      <c r="E312" s="3"/>
      <c r="F312" s="3"/>
      <c r="G312" s="3"/>
      <c r="H312" s="3"/>
      <c r="I312" s="3"/>
      <c r="J312" s="3"/>
      <c r="K312" s="3"/>
      <c r="L312" s="286"/>
      <c r="M312" s="131"/>
      <c r="N312" s="131"/>
      <c r="O312" s="131"/>
      <c r="P312" s="131"/>
      <c r="Q312" s="131"/>
      <c r="R312" s="131"/>
      <c r="S312" s="131"/>
      <c r="T312" s="131"/>
      <c r="U312" s="131"/>
    </row>
    <row r="313" spans="2:21">
      <c r="B313" s="136"/>
      <c r="C313" s="131"/>
      <c r="D313" s="287" t="str">
        <f>+"1)  Load Scheduling &amp; Dispatch Charges in account 561 that are collected in the OATT Ancilliary Services Revenue, as shown on line "&amp;B137&amp;"."</f>
        <v>1)  Load Scheduling &amp; Dispatch Charges in account 561 that are collected in the OATT Ancilliary Services Revenue, as shown on line 63.</v>
      </c>
      <c r="E313" s="41"/>
      <c r="F313" s="41"/>
      <c r="G313" s="41"/>
      <c r="H313" s="41"/>
      <c r="I313" s="41"/>
      <c r="J313" s="41"/>
      <c r="K313" s="41"/>
      <c r="L313" s="286"/>
      <c r="M313" s="131"/>
      <c r="N313" s="131"/>
      <c r="O313" s="131"/>
      <c r="P313" s="131"/>
      <c r="Q313" s="131"/>
      <c r="R313" s="131"/>
      <c r="S313" s="131"/>
      <c r="T313" s="131"/>
      <c r="U313" s="131"/>
    </row>
    <row r="314" spans="2:21">
      <c r="B314" s="136"/>
      <c r="C314" s="131"/>
      <c r="D314" s="288" t="str">
        <f>+"2)  Costs of Transmission of Electricity by Others, as described in Note H."</f>
        <v>2)  Costs of Transmission of Electricity by Others, as described in Note H.</v>
      </c>
      <c r="E314" s="3"/>
      <c r="F314" s="3"/>
      <c r="G314" s="3"/>
      <c r="H314" s="3"/>
      <c r="I314" s="3"/>
      <c r="J314" s="3"/>
      <c r="K314" s="3"/>
      <c r="L314" s="286"/>
      <c r="M314" s="131"/>
      <c r="N314" s="131"/>
      <c r="O314" s="131"/>
      <c r="P314" s="131"/>
      <c r="Q314" s="131"/>
      <c r="R314" s="131"/>
      <c r="S314" s="131"/>
      <c r="T314" s="131"/>
      <c r="U314" s="131"/>
    </row>
    <row r="315" spans="2:21">
      <c r="B315" s="136"/>
      <c r="C315" s="131"/>
      <c r="D315" s="287" t="str">
        <f>+"3)  The impact of state regulatory deferrals and amortizations, as shown on line  "&amp;B139&amp;""</f>
        <v>3)  The impact of state regulatory deferrals and amortizations, as shown on line  65</v>
      </c>
      <c r="E315" s="41"/>
      <c r="F315" s="41"/>
      <c r="G315" s="41"/>
      <c r="H315" s="41"/>
      <c r="I315" s="41"/>
      <c r="J315" s="41"/>
      <c r="K315" s="41"/>
      <c r="L315" s="286"/>
      <c r="M315" s="131"/>
      <c r="N315" s="131"/>
      <c r="O315" s="131"/>
      <c r="P315" s="131"/>
      <c r="Q315" s="131"/>
      <c r="R315" s="131"/>
      <c r="S315" s="131"/>
      <c r="T315" s="131"/>
      <c r="U315" s="131"/>
    </row>
    <row r="316" spans="2:21">
      <c r="B316" s="136"/>
      <c r="C316" s="41"/>
      <c r="D316" s="288" t="str">
        <f>"4) All A&amp;G Expenses, as shown on line "&amp;B154&amp;"."</f>
        <v>4) All A&amp;G Expenses, as shown on line 78.</v>
      </c>
      <c r="E316" s="3"/>
      <c r="F316" s="3"/>
      <c r="G316" s="3"/>
      <c r="H316" s="3"/>
      <c r="I316" s="3"/>
      <c r="J316" s="3"/>
      <c r="K316" s="3"/>
      <c r="L316" s="286"/>
      <c r="M316" s="131"/>
      <c r="N316" s="131"/>
      <c r="O316" s="131"/>
      <c r="P316" s="131"/>
      <c r="Q316" s="131"/>
      <c r="R316" s="131"/>
      <c r="S316" s="131"/>
      <c r="T316" s="131"/>
      <c r="U316" s="131"/>
    </row>
    <row r="317" spans="2:21">
      <c r="B317" s="136"/>
      <c r="C317" s="137"/>
      <c r="D317" s="287"/>
      <c r="E317" s="287"/>
      <c r="F317" s="287"/>
      <c r="G317" s="287"/>
      <c r="H317" s="287"/>
      <c r="I317" s="287"/>
      <c r="J317" s="287"/>
      <c r="K317" s="287"/>
      <c r="L317" s="131"/>
      <c r="M317" s="131"/>
      <c r="N317" s="131"/>
      <c r="O317" s="131"/>
      <c r="P317" s="131"/>
      <c r="Q317" s="131"/>
      <c r="R317" s="131"/>
      <c r="S317" s="131"/>
      <c r="T317" s="131"/>
      <c r="U317" s="131"/>
    </row>
    <row r="318" spans="2:21">
      <c r="B318" s="285" t="s">
        <v>453</v>
      </c>
      <c r="C318" s="205"/>
      <c r="D318" s="289" t="str">
        <f>"Consistent with Paragraph 657 of Order 2003-A, the amount on line "&amp;B116&amp;" is equal to the balance of IPP System Upgrade Credits owed to transmission customers that"</f>
        <v>Consistent with Paragraph 657 of Order 2003-A, the amount on line 57 is equal to the balance of IPP System Upgrade Credits owed to transmission customers that</v>
      </c>
      <c r="E318" s="289"/>
      <c r="F318" s="289"/>
      <c r="G318" s="289"/>
      <c r="H318" s="289"/>
      <c r="I318" s="289"/>
      <c r="J318" s="289"/>
      <c r="K318" s="289"/>
      <c r="M318" s="131"/>
      <c r="N318" s="131"/>
      <c r="O318" s="131"/>
      <c r="P318" s="131"/>
      <c r="Q318" s="131"/>
      <c r="R318" s="131"/>
      <c r="S318" s="131"/>
      <c r="T318" s="131"/>
      <c r="U318" s="131"/>
    </row>
    <row r="319" spans="2:21">
      <c r="D319" s="289" t="s">
        <v>509</v>
      </c>
      <c r="E319" s="289"/>
      <c r="F319" s="289"/>
      <c r="G319" s="289"/>
      <c r="H319" s="289"/>
      <c r="I319" s="289"/>
      <c r="J319" s="289"/>
      <c r="K319" s="289"/>
      <c r="M319" s="131"/>
      <c r="N319" s="131"/>
      <c r="O319" s="131"/>
      <c r="P319" s="131"/>
      <c r="Q319" s="131"/>
      <c r="R319" s="131"/>
      <c r="S319" s="131"/>
      <c r="T319" s="131"/>
      <c r="U319" s="131"/>
    </row>
    <row r="320" spans="2:21">
      <c r="D320" s="289" t="str">
        <f>"expense is included on line "&amp;B193&amp;"."</f>
        <v>expense is included on line 110.</v>
      </c>
      <c r="E320" s="289"/>
      <c r="F320" s="289"/>
      <c r="G320" s="289"/>
      <c r="H320" s="289"/>
      <c r="I320" s="289"/>
      <c r="J320" s="289"/>
      <c r="K320" s="289"/>
      <c r="M320" s="131"/>
      <c r="N320" s="131"/>
      <c r="O320" s="131"/>
      <c r="P320" s="131"/>
      <c r="Q320" s="131"/>
      <c r="R320" s="131"/>
      <c r="S320" s="131"/>
      <c r="T320" s="131"/>
      <c r="U320" s="131"/>
    </row>
    <row r="321" spans="2:21" ht="21" customHeight="1">
      <c r="D321" s="289"/>
      <c r="E321" s="289"/>
      <c r="F321" s="289"/>
      <c r="G321" s="289"/>
      <c r="H321" s="289"/>
      <c r="I321" s="289"/>
      <c r="J321" s="289"/>
      <c r="K321" s="289"/>
      <c r="N321" s="131"/>
      <c r="O321" s="131"/>
      <c r="P321" s="131"/>
      <c r="Q321" s="131"/>
      <c r="R321" s="131"/>
      <c r="S321" s="131"/>
      <c r="T321" s="131"/>
      <c r="U321" s="131"/>
    </row>
    <row r="322" spans="2:21" ht="14.25" customHeight="1">
      <c r="B322" s="285" t="s">
        <v>454</v>
      </c>
      <c r="D322" s="1133" t="str">
        <f>"Removes from the cost of service the Load Scheduling and Dispatch expenses booked to accounts 561.1 through 561.8.  Expenses recorded in these accounts, with the exception of 561.4 &amp; 561.8 (lines "&amp;B42&amp;" &amp; "&amp;B43&amp;"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22" s="1133"/>
      <c r="F322" s="1133"/>
      <c r="G322" s="1133"/>
      <c r="H322" s="1133"/>
      <c r="I322" s="1133"/>
      <c r="J322" s="1133"/>
      <c r="K322" s="1133"/>
      <c r="N322" s="131"/>
      <c r="O322" s="131"/>
      <c r="P322" s="131"/>
      <c r="Q322" s="131"/>
      <c r="R322" s="131"/>
      <c r="S322" s="131"/>
      <c r="T322" s="131"/>
      <c r="U322" s="131"/>
    </row>
    <row r="323" spans="2:21" ht="45" customHeight="1">
      <c r="B323" s="285"/>
      <c r="D323" s="1133"/>
      <c r="E323" s="1133"/>
      <c r="F323" s="1133"/>
      <c r="G323" s="1133"/>
      <c r="H323" s="1133"/>
      <c r="I323" s="1133"/>
      <c r="J323" s="1133"/>
      <c r="K323" s="1133"/>
      <c r="N323" s="131"/>
      <c r="O323" s="131"/>
      <c r="P323" s="131"/>
      <c r="Q323" s="131"/>
      <c r="R323" s="131"/>
      <c r="S323" s="131"/>
      <c r="T323" s="131"/>
      <c r="U323" s="131"/>
    </row>
    <row r="324" spans="2:21" ht="5.25" hidden="1" customHeight="1">
      <c r="B324" s="285"/>
      <c r="D324" s="1133"/>
      <c r="E324" s="1133"/>
      <c r="F324" s="1133"/>
      <c r="G324" s="1133"/>
      <c r="H324" s="1133"/>
      <c r="I324" s="1133"/>
      <c r="J324" s="1133"/>
      <c r="K324" s="1133"/>
      <c r="N324" s="131"/>
      <c r="O324" s="131"/>
      <c r="P324" s="131"/>
      <c r="Q324" s="131"/>
      <c r="R324" s="131"/>
      <c r="S324" s="131"/>
      <c r="T324" s="131"/>
      <c r="U324" s="131"/>
    </row>
    <row r="325" spans="2:21">
      <c r="B325" s="285"/>
      <c r="D325" s="287"/>
      <c r="E325" s="289"/>
      <c r="F325" s="289"/>
      <c r="G325" s="289"/>
      <c r="H325" s="289"/>
      <c r="I325" s="289"/>
      <c r="J325" s="289"/>
      <c r="K325" s="289"/>
      <c r="N325" s="131"/>
      <c r="O325" s="131"/>
      <c r="P325" s="131"/>
      <c r="Q325" s="131"/>
      <c r="R325" s="131"/>
      <c r="S325" s="131"/>
      <c r="T325" s="131"/>
      <c r="U325" s="131"/>
    </row>
    <row r="326" spans="2:21">
      <c r="B326" s="285" t="s">
        <v>455</v>
      </c>
      <c r="D326" s="1136" t="str">
        <f>"Removes cost of transmission service provided by others to determine the basis of cash working capital on line "&amp;B140&amp;". To the extent such service is incurred to provide the PJM service at issue, e.g. lease payments to affiliates, such costs are added back on line "&amp;B157&amp;" to determine the total O&amp;M collected in the formula.  The amounts on line"&amp;B157&amp;" is also excluded in the calculation of the FCR percentage calculated on lines "&amp;B26&amp;" through "&amp;B34&amp;"."</f>
        <v>Removes cost of transmission service provided by others to determine the basis of cash working capital on line 66. To the extent such service is incurred to provide the PJM service at issue, e.g. lease payments to affiliates, such costs are added back on line 80 to determine the total O&amp;M collected in the formula.  The amounts on line80 is also excluded in the calculation of the FCR percentage calculated on lines 6 through 12.</v>
      </c>
      <c r="E326" s="1136"/>
      <c r="F326" s="1136"/>
      <c r="G326" s="1136"/>
      <c r="H326" s="1136"/>
      <c r="I326" s="1136"/>
      <c r="J326" s="1136"/>
      <c r="K326" s="1136"/>
      <c r="N326" s="131"/>
      <c r="O326" s="131"/>
      <c r="P326" s="131"/>
      <c r="Q326" s="131"/>
      <c r="R326" s="131"/>
      <c r="S326" s="131"/>
      <c r="T326" s="131"/>
      <c r="U326" s="131"/>
    </row>
    <row r="327" spans="2:21">
      <c r="B327" s="285"/>
      <c r="D327" s="1136"/>
      <c r="E327" s="1136"/>
      <c r="F327" s="1136"/>
      <c r="G327" s="1136"/>
      <c r="H327" s="1136"/>
      <c r="I327" s="1136"/>
      <c r="J327" s="1136"/>
      <c r="K327" s="1136"/>
      <c r="N327" s="131"/>
      <c r="O327" s="131"/>
      <c r="P327" s="131"/>
      <c r="Q327" s="131"/>
      <c r="R327" s="131"/>
      <c r="S327" s="131"/>
      <c r="T327" s="131"/>
      <c r="U327" s="131"/>
    </row>
    <row r="328" spans="2:21">
      <c r="B328" s="285"/>
      <c r="D328" s="1137"/>
      <c r="E328" s="1137"/>
      <c r="F328" s="1137"/>
      <c r="G328" s="1137"/>
      <c r="H328" s="1137"/>
      <c r="I328" s="1137"/>
      <c r="J328" s="1137"/>
      <c r="K328" s="1137"/>
      <c r="N328" s="131"/>
      <c r="O328" s="131"/>
      <c r="P328" s="131"/>
      <c r="Q328" s="131"/>
      <c r="R328" s="131"/>
      <c r="S328" s="131"/>
      <c r="T328" s="131"/>
      <c r="U328" s="131"/>
    </row>
    <row r="329" spans="2:21">
      <c r="B329" s="285"/>
      <c r="D329" s="1138" t="str">
        <f>"The addbacks  on line"&amp;B157&amp;" of activity recorded in 565 represents inter-company sales or purchases of transmission capacity necessary to meet each AEP company's transmission load relative to their available transmission capacity."</f>
        <v>The addbacks  on line80 of activity recorded in 565 represents inter-company sales or purchases of transmission capacity necessary to meet each AEP company's transmission load relative to their available transmission capacity.</v>
      </c>
      <c r="E329" s="1138"/>
      <c r="F329" s="1138"/>
      <c r="G329" s="1138"/>
      <c r="H329" s="1138"/>
      <c r="I329" s="1138"/>
      <c r="J329" s="1138"/>
      <c r="K329" s="290"/>
      <c r="N329" s="131"/>
      <c r="O329" s="131"/>
      <c r="P329" s="131"/>
      <c r="Q329" s="131"/>
      <c r="R329" s="131"/>
      <c r="S329" s="131"/>
      <c r="T329" s="131"/>
      <c r="U329" s="131"/>
    </row>
    <row r="330" spans="2:21">
      <c r="B330" s="285"/>
      <c r="D330" s="1138"/>
      <c r="E330" s="1138"/>
      <c r="F330" s="1138"/>
      <c r="G330" s="1138"/>
      <c r="H330" s="1138"/>
      <c r="I330" s="1138"/>
      <c r="J330" s="1138"/>
      <c r="K330" s="290"/>
      <c r="N330" s="131"/>
      <c r="O330" s="131"/>
      <c r="P330" s="131"/>
      <c r="Q330" s="131"/>
      <c r="R330" s="131"/>
      <c r="S330" s="131"/>
      <c r="T330" s="131"/>
      <c r="U330" s="131"/>
    </row>
    <row r="331" spans="2:21" ht="22.5" customHeight="1">
      <c r="B331" s="285"/>
      <c r="D331" s="289" t="str">
        <f>"The company records referenced on line"&amp;B157&amp;" is the "&amp;F9&amp;" general ledger."</f>
        <v>The company records referenced on line80 is the AEP Kentucky Transmission Company general ledger.</v>
      </c>
      <c r="E331" s="291"/>
      <c r="F331" s="291"/>
      <c r="G331" s="291"/>
      <c r="H331" s="291"/>
      <c r="I331" s="291"/>
      <c r="J331" s="291"/>
      <c r="K331" s="290"/>
      <c r="N331" s="131"/>
      <c r="O331" s="131"/>
      <c r="P331" s="131"/>
      <c r="Q331" s="131"/>
      <c r="R331" s="131"/>
      <c r="S331" s="131"/>
      <c r="T331" s="131"/>
      <c r="U331" s="131"/>
    </row>
    <row r="332" spans="2:21">
      <c r="B332" s="285"/>
      <c r="D332" s="291"/>
      <c r="E332" s="291"/>
      <c r="F332" s="291"/>
      <c r="G332" s="291"/>
      <c r="H332" s="291"/>
      <c r="I332" s="291"/>
      <c r="J332" s="291"/>
      <c r="K332" s="291"/>
      <c r="N332" s="131"/>
      <c r="O332" s="131"/>
      <c r="P332" s="131"/>
      <c r="Q332" s="131"/>
      <c r="R332" s="131"/>
      <c r="S332" s="131"/>
      <c r="T332" s="131"/>
      <c r="U332" s="131"/>
    </row>
    <row r="333" spans="2:21">
      <c r="B333" s="285" t="s">
        <v>456</v>
      </c>
      <c r="D333" s="289" t="s">
        <v>605</v>
      </c>
      <c r="E333" s="41"/>
      <c r="F333" s="41"/>
      <c r="G333" s="41"/>
      <c r="H333" s="41"/>
      <c r="I333" s="41"/>
      <c r="J333" s="41"/>
      <c r="K333" s="41"/>
      <c r="N333" s="131"/>
      <c r="O333" s="131"/>
      <c r="P333" s="131"/>
      <c r="Q333" s="131"/>
      <c r="R333" s="131"/>
      <c r="S333" s="131"/>
      <c r="T333" s="131"/>
      <c r="U333" s="131"/>
    </row>
    <row r="334" spans="2:21">
      <c r="B334" s="285"/>
      <c r="D334" s="292"/>
      <c r="E334" s="292"/>
      <c r="F334" s="292"/>
      <c r="G334" s="292"/>
      <c r="H334" s="292"/>
      <c r="I334" s="292"/>
      <c r="J334" s="292"/>
      <c r="K334" s="292"/>
      <c r="N334" s="131"/>
      <c r="O334" s="131"/>
      <c r="P334" s="131"/>
      <c r="Q334" s="131"/>
      <c r="R334" s="131"/>
      <c r="S334" s="131"/>
      <c r="T334" s="131"/>
      <c r="U334" s="131"/>
    </row>
    <row r="335" spans="2:21" ht="15" customHeight="1">
      <c r="B335" s="285" t="s">
        <v>457</v>
      </c>
      <c r="D335" s="1140" t="s">
        <v>7</v>
      </c>
      <c r="E335" s="1120"/>
      <c r="F335" s="1120"/>
      <c r="G335" s="1120"/>
      <c r="H335" s="1120"/>
      <c r="I335" s="1120"/>
      <c r="J335" s="1120"/>
      <c r="K335" s="289"/>
      <c r="N335" s="131"/>
      <c r="O335" s="131"/>
      <c r="P335" s="131"/>
      <c r="Q335" s="131"/>
      <c r="R335" s="131"/>
      <c r="S335" s="131"/>
      <c r="T335" s="131"/>
      <c r="U335" s="131"/>
    </row>
    <row r="336" spans="2:21">
      <c r="B336" s="285"/>
      <c r="D336" s="1141"/>
      <c r="E336" s="1141"/>
      <c r="F336" s="1141"/>
      <c r="G336" s="1141"/>
      <c r="H336" s="1141"/>
      <c r="I336" s="1141"/>
      <c r="J336" s="1141"/>
      <c r="K336" s="292"/>
      <c r="N336" s="131"/>
      <c r="O336" s="131"/>
      <c r="P336" s="131"/>
      <c r="Q336" s="131"/>
      <c r="R336" s="131"/>
      <c r="S336" s="131"/>
      <c r="T336" s="131"/>
      <c r="U336" s="131"/>
    </row>
    <row r="337" spans="2:21">
      <c r="B337" s="285"/>
      <c r="D337" s="1120"/>
      <c r="E337" s="1120"/>
      <c r="F337" s="1120"/>
      <c r="G337" s="1120"/>
      <c r="H337" s="1120"/>
      <c r="I337" s="1120"/>
      <c r="J337" s="1120"/>
      <c r="K337" s="289"/>
      <c r="N337" s="131"/>
      <c r="O337" s="131"/>
      <c r="P337" s="131"/>
      <c r="Q337" s="131"/>
      <c r="R337" s="131"/>
      <c r="S337" s="131"/>
      <c r="T337" s="131"/>
      <c r="U337" s="131"/>
    </row>
    <row r="338" spans="2:21">
      <c r="B338" s="285"/>
      <c r="N338" s="131"/>
      <c r="O338" s="131"/>
      <c r="P338" s="131"/>
      <c r="Q338" s="131"/>
      <c r="R338" s="131"/>
      <c r="S338" s="131"/>
      <c r="T338" s="131"/>
      <c r="U338" s="131"/>
    </row>
    <row r="339" spans="2:21" ht="15" customHeight="1">
      <c r="B339" s="136" t="s">
        <v>458</v>
      </c>
      <c r="D339" s="1134" t="s">
        <v>799</v>
      </c>
      <c r="E339" s="1135"/>
      <c r="F339" s="1135"/>
      <c r="G339" s="1135"/>
      <c r="H339" s="1135"/>
      <c r="I339" s="1135"/>
      <c r="J339" s="1135"/>
      <c r="K339" s="1135"/>
      <c r="N339" s="131"/>
      <c r="O339" s="131"/>
      <c r="P339" s="131"/>
      <c r="Q339" s="131"/>
      <c r="R339" s="131"/>
      <c r="S339" s="131"/>
      <c r="T339" s="131"/>
      <c r="U339" s="131"/>
    </row>
    <row r="340" spans="2:21">
      <c r="B340" s="285"/>
      <c r="N340" s="131"/>
      <c r="O340" s="131"/>
      <c r="P340" s="131"/>
      <c r="Q340" s="131"/>
      <c r="R340" s="131"/>
      <c r="S340" s="131"/>
      <c r="T340" s="131"/>
      <c r="U340" s="131"/>
    </row>
    <row r="341" spans="2:21">
      <c r="B341" s="136" t="s">
        <v>459</v>
      </c>
      <c r="C341" s="137"/>
      <c r="D341" s="131" t="s">
        <v>158</v>
      </c>
      <c r="E341" s="131"/>
      <c r="F341" s="131"/>
      <c r="G341" s="131"/>
      <c r="H341" s="131"/>
      <c r="I341" s="131"/>
      <c r="J341" s="131"/>
      <c r="K341" s="131"/>
      <c r="L341" s="131"/>
      <c r="N341" s="131"/>
      <c r="O341" s="131"/>
      <c r="P341" s="131"/>
      <c r="Q341" s="131"/>
      <c r="R341" s="131"/>
      <c r="S341" s="131"/>
      <c r="T341" s="131"/>
      <c r="U341" s="131"/>
    </row>
    <row r="342" spans="2:21">
      <c r="B342" s="136"/>
      <c r="C342" s="137"/>
      <c r="D342" s="131" t="s">
        <v>277</v>
      </c>
      <c r="E342" s="131"/>
      <c r="F342" s="131"/>
      <c r="G342" s="131"/>
      <c r="H342" s="131"/>
      <c r="I342" s="131"/>
      <c r="J342" s="131"/>
      <c r="K342" s="131"/>
      <c r="L342" s="131"/>
      <c r="N342" s="131"/>
      <c r="O342" s="131"/>
      <c r="P342" s="131"/>
      <c r="Q342" s="131"/>
      <c r="R342" s="131"/>
      <c r="S342" s="131"/>
      <c r="T342" s="131"/>
      <c r="U342" s="131"/>
    </row>
    <row r="343" spans="2:21">
      <c r="B343" s="136"/>
      <c r="C343" s="137"/>
      <c r="D343" s="131" t="s">
        <v>278</v>
      </c>
      <c r="E343" s="131"/>
      <c r="F343" s="131"/>
      <c r="G343" s="131"/>
      <c r="H343" s="131"/>
      <c r="I343" s="131"/>
      <c r="J343" s="131"/>
      <c r="K343" s="131"/>
      <c r="L343" s="131"/>
      <c r="N343" s="131"/>
      <c r="O343" s="131"/>
      <c r="P343" s="131"/>
      <c r="Q343" s="131"/>
      <c r="R343" s="131"/>
      <c r="S343" s="131"/>
      <c r="T343" s="131"/>
      <c r="U343" s="131"/>
    </row>
    <row r="344" spans="2:21">
      <c r="B344" s="136"/>
      <c r="C344" s="137"/>
      <c r="D344" s="126" t="s">
        <v>279</v>
      </c>
      <c r="E344" s="131"/>
      <c r="F344" s="131"/>
      <c r="G344" s="131"/>
      <c r="H344" s="131"/>
      <c r="I344" s="131"/>
      <c r="J344" s="131"/>
      <c r="K344" s="131"/>
      <c r="L344" s="131"/>
      <c r="N344" s="131"/>
      <c r="O344" s="131"/>
      <c r="P344" s="131"/>
      <c r="Q344" s="131"/>
      <c r="R344" s="131"/>
      <c r="S344" s="131"/>
      <c r="T344" s="131"/>
      <c r="U344" s="131"/>
    </row>
    <row r="345" spans="2:21">
      <c r="B345" s="136"/>
      <c r="C345" s="137"/>
      <c r="E345" s="131"/>
      <c r="F345" s="131"/>
      <c r="G345" s="131"/>
      <c r="H345" s="131"/>
      <c r="I345" s="131"/>
      <c r="J345" s="131"/>
      <c r="K345" s="131"/>
      <c r="L345" s="131"/>
      <c r="N345" s="131"/>
      <c r="O345" s="131"/>
      <c r="P345" s="131"/>
      <c r="Q345" s="131"/>
      <c r="R345" s="131"/>
      <c r="S345" s="131"/>
      <c r="T345" s="131"/>
      <c r="U345" s="131"/>
    </row>
    <row r="346" spans="2:21" ht="25.5" customHeight="1">
      <c r="B346" s="136" t="s">
        <v>460</v>
      </c>
      <c r="C346" s="137"/>
      <c r="D346" s="1139" t="s">
        <v>800</v>
      </c>
      <c r="E346" s="1139"/>
      <c r="F346" s="1139"/>
      <c r="G346" s="1139"/>
      <c r="H346" s="1139"/>
      <c r="I346" s="1139"/>
      <c r="J346" s="1139"/>
      <c r="K346" s="1139"/>
      <c r="L346" s="1139"/>
      <c r="N346" s="131"/>
      <c r="O346" s="131"/>
      <c r="P346" s="131"/>
      <c r="Q346" s="131"/>
      <c r="R346" s="131"/>
      <c r="S346" s="131"/>
      <c r="T346" s="131"/>
      <c r="U346" s="131"/>
    </row>
    <row r="347" spans="2:21">
      <c r="B347" s="136"/>
      <c r="C347" s="137"/>
      <c r="D347" s="1139"/>
      <c r="E347" s="1139"/>
      <c r="F347" s="1139"/>
      <c r="G347" s="1139"/>
      <c r="H347" s="1139"/>
      <c r="I347" s="1139"/>
      <c r="J347" s="1139"/>
      <c r="K347" s="1139"/>
      <c r="L347" s="1139"/>
      <c r="N347" s="131"/>
      <c r="O347" s="131"/>
      <c r="P347" s="131"/>
      <c r="Q347" s="131"/>
      <c r="R347" s="131"/>
      <c r="S347" s="131"/>
      <c r="T347" s="131"/>
      <c r="U347" s="131"/>
    </row>
    <row r="348" spans="2:21">
      <c r="B348" s="136"/>
      <c r="C348" s="137"/>
      <c r="D348" s="1139"/>
      <c r="E348" s="1139"/>
      <c r="F348" s="1139"/>
      <c r="G348" s="1139"/>
      <c r="H348" s="1139"/>
      <c r="I348" s="1139"/>
      <c r="J348" s="1139"/>
      <c r="K348" s="1139"/>
      <c r="L348" s="1139"/>
      <c r="N348" s="131"/>
      <c r="O348" s="131"/>
      <c r="P348" s="131"/>
      <c r="Q348" s="131"/>
      <c r="R348" s="131"/>
      <c r="S348" s="131"/>
      <c r="T348" s="131"/>
      <c r="U348" s="131"/>
    </row>
    <row r="349" spans="2:21">
      <c r="B349" s="136"/>
      <c r="C349" s="137"/>
      <c r="D349" s="218"/>
      <c r="E349" s="131"/>
      <c r="F349" s="131"/>
      <c r="G349" s="131"/>
      <c r="H349" s="131"/>
      <c r="I349" s="131"/>
      <c r="J349" s="131"/>
      <c r="K349" s="131"/>
      <c r="L349" s="131"/>
      <c r="N349" s="131"/>
      <c r="O349" s="131"/>
      <c r="P349" s="131"/>
      <c r="Q349" s="131"/>
      <c r="R349" s="131"/>
      <c r="S349" s="131"/>
      <c r="T349" s="131"/>
      <c r="U349" s="131"/>
    </row>
    <row r="350" spans="2:21">
      <c r="B350" s="205" t="s">
        <v>31</v>
      </c>
      <c r="C350" s="137"/>
      <c r="D350" s="131" t="s">
        <v>596</v>
      </c>
      <c r="E350" s="132"/>
      <c r="F350" s="132"/>
      <c r="G350" s="132"/>
      <c r="H350" s="132"/>
      <c r="I350" s="132"/>
      <c r="J350" s="132"/>
      <c r="N350" s="131"/>
      <c r="O350" s="131"/>
      <c r="P350" s="131"/>
      <c r="Q350" s="131"/>
      <c r="R350" s="131"/>
      <c r="S350" s="131"/>
      <c r="T350" s="131"/>
      <c r="U350" s="131"/>
    </row>
    <row r="351" spans="2:21">
      <c r="B351" s="205"/>
      <c r="C351" s="137"/>
      <c r="D351" s="132"/>
      <c r="E351" s="132"/>
      <c r="F351" s="132"/>
      <c r="G351" s="132"/>
      <c r="H351" s="132"/>
      <c r="I351" s="132"/>
      <c r="J351" s="132"/>
      <c r="N351" s="131"/>
      <c r="O351" s="131"/>
      <c r="P351" s="131"/>
      <c r="Q351" s="131"/>
      <c r="R351" s="131"/>
      <c r="S351" s="131"/>
      <c r="T351" s="131"/>
      <c r="U351" s="131"/>
    </row>
    <row r="352" spans="2:21">
      <c r="B352" s="136" t="s">
        <v>107</v>
      </c>
      <c r="C352" s="137"/>
      <c r="D352" s="131" t="s">
        <v>146</v>
      </c>
      <c r="N352" s="131"/>
      <c r="O352" s="131"/>
      <c r="P352" s="131"/>
      <c r="Q352" s="131"/>
      <c r="R352" s="131"/>
      <c r="S352" s="131"/>
      <c r="T352" s="131"/>
      <c r="U352" s="131"/>
    </row>
    <row r="353" spans="2:21">
      <c r="B353" s="205"/>
      <c r="C353" s="137"/>
      <c r="D353" s="131" t="s">
        <v>18</v>
      </c>
      <c r="N353" s="131"/>
      <c r="O353" s="131"/>
      <c r="P353" s="131"/>
      <c r="Q353" s="131"/>
      <c r="R353" s="131"/>
      <c r="S353" s="131"/>
      <c r="T353" s="131"/>
      <c r="U353" s="131"/>
    </row>
    <row r="354" spans="2:21">
      <c r="B354" s="205"/>
      <c r="C354" s="137"/>
      <c r="D354" s="131" t="s">
        <v>19</v>
      </c>
      <c r="N354" s="131"/>
      <c r="O354" s="131"/>
      <c r="P354" s="131"/>
      <c r="Q354" s="131"/>
      <c r="R354" s="131"/>
      <c r="S354" s="131"/>
      <c r="T354" s="131"/>
      <c r="U354" s="131"/>
    </row>
    <row r="355" spans="2:21">
      <c r="B355" s="205"/>
      <c r="C355" s="137"/>
      <c r="D355" s="131" t="s">
        <v>20</v>
      </c>
      <c r="N355" s="131"/>
      <c r="O355" s="131"/>
      <c r="P355" s="131"/>
      <c r="Q355" s="131"/>
      <c r="R355" s="131"/>
      <c r="S355" s="131"/>
      <c r="T355" s="131"/>
      <c r="U355" s="131"/>
    </row>
    <row r="356" spans="2:21">
      <c r="B356" s="136"/>
      <c r="C356" s="137"/>
      <c r="D356" s="131" t="str">
        <f>"(ln "&amp;B182&amp;") multiplied by (1/1-T) .  If the applicable tax rates are zero enter 0."</f>
        <v>(ln 101) multiplied by (1/1-T) .  If the applicable tax rates are zero enter 0.</v>
      </c>
      <c r="N356" s="131"/>
      <c r="O356" s="131"/>
      <c r="P356" s="131"/>
      <c r="Q356" s="131"/>
      <c r="R356" s="131"/>
      <c r="S356" s="131"/>
      <c r="T356" s="131"/>
      <c r="U356" s="131"/>
    </row>
    <row r="357" spans="2:21">
      <c r="B357" s="293"/>
      <c r="C357" s="131"/>
      <c r="D357" s="131" t="s">
        <v>147</v>
      </c>
      <c r="E357" s="131" t="s">
        <v>148</v>
      </c>
      <c r="F357" s="120">
        <v>0.21</v>
      </c>
      <c r="G357" s="131"/>
      <c r="N357" s="131"/>
      <c r="O357" s="131"/>
      <c r="P357" s="131"/>
      <c r="Q357" s="131"/>
      <c r="R357" s="131"/>
      <c r="S357" s="131"/>
      <c r="T357" s="131"/>
      <c r="U357" s="131"/>
    </row>
    <row r="358" spans="2:21">
      <c r="B358" s="293"/>
      <c r="C358" s="131"/>
      <c r="D358" s="131"/>
      <c r="E358" s="131" t="s">
        <v>149</v>
      </c>
      <c r="F358" s="157">
        <f>+'WS G  State Tax Rate'!F29</f>
        <v>4.9599999999999998E-2</v>
      </c>
      <c r="G358" s="131" t="s">
        <v>301</v>
      </c>
      <c r="N358" s="131"/>
      <c r="O358" s="131"/>
      <c r="P358" s="131"/>
      <c r="Q358" s="131"/>
      <c r="R358" s="131"/>
      <c r="S358" s="131"/>
      <c r="T358" s="131"/>
      <c r="U358" s="131"/>
    </row>
    <row r="359" spans="2:21">
      <c r="B359" s="293"/>
      <c r="C359" s="131"/>
      <c r="D359" s="131"/>
      <c r="E359" s="131" t="s">
        <v>150</v>
      </c>
      <c r="F359" s="120">
        <v>0</v>
      </c>
      <c r="G359" s="131" t="s">
        <v>151</v>
      </c>
      <c r="N359" s="131"/>
      <c r="O359" s="131"/>
      <c r="P359" s="131"/>
      <c r="Q359" s="131"/>
      <c r="R359" s="131"/>
      <c r="S359" s="131"/>
      <c r="T359" s="131"/>
      <c r="U359" s="131"/>
    </row>
    <row r="360" spans="2:21" ht="46.5" customHeight="1">
      <c r="B360" s="205"/>
      <c r="C360" s="137"/>
      <c r="D360" s="1142" t="s">
        <v>606</v>
      </c>
      <c r="E360" s="1142"/>
      <c r="F360" s="1142"/>
      <c r="G360" s="1142"/>
      <c r="H360" s="1142"/>
      <c r="I360" s="1142"/>
      <c r="J360" s="1142"/>
      <c r="M360" s="131"/>
      <c r="N360" s="131"/>
      <c r="O360" s="131"/>
      <c r="P360" s="131"/>
      <c r="Q360" s="131"/>
      <c r="R360" s="131"/>
      <c r="S360" s="131"/>
      <c r="T360" s="131"/>
      <c r="U360" s="131"/>
    </row>
    <row r="361" spans="2:21">
      <c r="B361" s="136" t="s">
        <v>152</v>
      </c>
      <c r="C361" s="137"/>
      <c r="D361" s="131" t="s">
        <v>549</v>
      </c>
      <c r="N361" s="131"/>
      <c r="O361" s="131"/>
      <c r="P361" s="131"/>
      <c r="Q361" s="131"/>
      <c r="R361" s="131"/>
      <c r="S361" s="131"/>
      <c r="T361" s="131"/>
      <c r="U361" s="131"/>
    </row>
    <row r="362" spans="2:21">
      <c r="B362" s="126"/>
      <c r="D362" s="131"/>
      <c r="N362" s="131"/>
      <c r="O362" s="131"/>
      <c r="P362" s="131"/>
      <c r="Q362" s="131"/>
      <c r="R362" s="131"/>
      <c r="S362" s="131"/>
      <c r="T362" s="131"/>
      <c r="U362" s="131"/>
    </row>
    <row r="363" spans="2:21">
      <c r="B363" s="136" t="s">
        <v>153</v>
      </c>
      <c r="C363" s="137"/>
      <c r="D363" s="131" t="s">
        <v>359</v>
      </c>
      <c r="N363" s="131"/>
      <c r="O363" s="131"/>
      <c r="P363" s="131"/>
      <c r="Q363" s="131"/>
      <c r="R363" s="131"/>
      <c r="S363" s="131"/>
      <c r="T363" s="131"/>
      <c r="U363" s="131"/>
    </row>
    <row r="364" spans="2:21">
      <c r="B364" s="136"/>
      <c r="C364" s="137"/>
      <c r="D364" s="131"/>
      <c r="E364" s="131"/>
      <c r="F364" s="131"/>
      <c r="G364" s="131"/>
      <c r="H364" s="131"/>
      <c r="I364" s="131"/>
      <c r="J364" s="131"/>
      <c r="K364" s="131"/>
      <c r="L364" s="131"/>
      <c r="M364" s="131"/>
      <c r="N364" s="131"/>
      <c r="O364" s="131"/>
      <c r="P364" s="131"/>
      <c r="Q364" s="131"/>
      <c r="R364" s="131"/>
      <c r="S364" s="131"/>
      <c r="T364" s="131"/>
      <c r="U364" s="131"/>
    </row>
    <row r="365" spans="2:21">
      <c r="B365" s="136" t="s">
        <v>154</v>
      </c>
      <c r="C365" s="137"/>
      <c r="D365" s="131" t="s">
        <v>620</v>
      </c>
      <c r="E365" s="131"/>
      <c r="F365" s="131"/>
      <c r="G365" s="131"/>
      <c r="H365" s="131"/>
      <c r="I365" s="131"/>
      <c r="J365" s="131"/>
      <c r="K365" s="131"/>
      <c r="L365" s="131"/>
      <c r="M365" s="131"/>
      <c r="N365" s="131"/>
      <c r="O365" s="131"/>
      <c r="P365" s="131"/>
      <c r="Q365" s="131"/>
      <c r="R365" s="131"/>
      <c r="S365" s="131"/>
      <c r="T365" s="131"/>
      <c r="U365" s="131"/>
    </row>
    <row r="366" spans="2:21">
      <c r="B366" s="136"/>
      <c r="C366" s="137"/>
      <c r="D366" s="131"/>
      <c r="E366" s="131"/>
      <c r="F366" s="131"/>
      <c r="G366" s="131"/>
      <c r="H366" s="131"/>
      <c r="I366" s="131"/>
      <c r="J366" s="131"/>
      <c r="K366" s="131"/>
      <c r="L366" s="131"/>
      <c r="M366" s="131"/>
      <c r="N366" s="131"/>
      <c r="O366" s="131"/>
      <c r="P366" s="131"/>
      <c r="Q366" s="131"/>
      <c r="R366" s="131"/>
      <c r="S366" s="131"/>
      <c r="T366" s="131"/>
      <c r="U366" s="131"/>
    </row>
    <row r="367" spans="2:21" ht="15.75" customHeight="1">
      <c r="B367" s="294" t="s">
        <v>155</v>
      </c>
      <c r="C367" s="154"/>
      <c r="D367" s="1121" t="s">
        <v>922</v>
      </c>
      <c r="E367" s="1121"/>
      <c r="F367" s="1121"/>
      <c r="G367" s="1121"/>
      <c r="H367" s="1121"/>
      <c r="I367" s="1121"/>
      <c r="J367" s="1121"/>
      <c r="M367"/>
      <c r="N367"/>
      <c r="O367" s="131"/>
      <c r="P367" s="131"/>
      <c r="Q367" s="131"/>
      <c r="R367" s="131"/>
      <c r="S367" s="131"/>
      <c r="T367" s="131"/>
      <c r="U367" s="131"/>
    </row>
    <row r="368" spans="2:21" ht="15.75" customHeight="1">
      <c r="B368" s="154"/>
      <c r="C368" s="154"/>
      <c r="D368" s="1121" t="s">
        <v>923</v>
      </c>
      <c r="E368" s="1121"/>
      <c r="F368" s="1121"/>
      <c r="G368" s="1121"/>
      <c r="H368" s="1121"/>
      <c r="I368" s="1121"/>
      <c r="J368" s="1121"/>
      <c r="M368"/>
      <c r="N368"/>
      <c r="O368" s="131"/>
      <c r="P368" s="131"/>
      <c r="Q368" s="131"/>
      <c r="R368" s="131"/>
      <c r="S368" s="131"/>
      <c r="T368" s="131"/>
      <c r="U368" s="131"/>
    </row>
    <row r="369" spans="2:21" ht="15.75">
      <c r="B369" s="154"/>
      <c r="C369" s="154"/>
      <c r="D369" s="1121"/>
      <c r="E369" s="1121"/>
      <c r="F369" s="1121"/>
      <c r="G369" s="1121"/>
      <c r="H369" s="1121"/>
      <c r="I369" s="1121"/>
      <c r="J369" s="1121"/>
      <c r="M369"/>
      <c r="N369"/>
      <c r="O369" s="131"/>
      <c r="P369" s="131"/>
      <c r="Q369" s="131"/>
      <c r="R369" s="131"/>
      <c r="S369" s="131"/>
      <c r="T369" s="131"/>
      <c r="U369" s="131"/>
    </row>
    <row r="370" spans="2:21" ht="95.25" customHeight="1">
      <c r="B370" s="154"/>
      <c r="C370" s="154"/>
      <c r="D370" s="1121"/>
      <c r="E370" s="1121"/>
      <c r="F370" s="1121"/>
      <c r="G370" s="1121"/>
      <c r="H370" s="1121"/>
      <c r="I370" s="1121"/>
      <c r="J370" s="1121"/>
      <c r="M370"/>
      <c r="N370"/>
      <c r="O370" s="131"/>
      <c r="P370" s="131"/>
      <c r="Q370" s="131"/>
      <c r="R370" s="131"/>
      <c r="S370" s="131"/>
      <c r="T370" s="131"/>
      <c r="U370" s="131"/>
    </row>
    <row r="371" spans="2:21" ht="0.75" hidden="1" customHeight="1">
      <c r="B371" s="154"/>
      <c r="C371" s="154"/>
      <c r="D371" s="295"/>
      <c r="E371" s="295"/>
      <c r="F371" s="295"/>
      <c r="G371" s="295"/>
      <c r="H371" s="295"/>
      <c r="I371" s="295"/>
      <c r="J371" s="295"/>
      <c r="M371"/>
      <c r="N371"/>
      <c r="O371" s="131"/>
      <c r="P371" s="131"/>
      <c r="Q371" s="131"/>
      <c r="R371" s="131"/>
      <c r="S371" s="131"/>
      <c r="T371" s="131"/>
      <c r="U371" s="131"/>
    </row>
    <row r="372" spans="2:21" ht="54.75" hidden="1" customHeight="1">
      <c r="B372" s="154"/>
      <c r="C372" s="154"/>
      <c r="D372" s="295"/>
      <c r="E372" s="295"/>
      <c r="F372" s="295"/>
      <c r="G372" s="295"/>
      <c r="H372" s="295"/>
      <c r="I372" s="295"/>
      <c r="J372" s="295"/>
      <c r="M372"/>
      <c r="N372"/>
      <c r="O372" s="131"/>
      <c r="P372" s="131"/>
      <c r="Q372" s="131"/>
      <c r="R372" s="131"/>
      <c r="S372" s="131"/>
      <c r="T372" s="131"/>
      <c r="U372" s="131"/>
    </row>
    <row r="373" spans="2:21" ht="16.5" customHeight="1">
      <c r="B373" s="154"/>
      <c r="C373" s="154"/>
      <c r="D373" s="295"/>
      <c r="E373" s="295"/>
      <c r="F373" s="295"/>
      <c r="G373" s="295"/>
      <c r="H373" s="295"/>
      <c r="I373" s="295"/>
      <c r="J373" s="295"/>
      <c r="M373"/>
      <c r="N373"/>
      <c r="O373" s="131"/>
      <c r="P373" s="131"/>
      <c r="Q373" s="131"/>
      <c r="R373" s="131"/>
      <c r="S373" s="131"/>
      <c r="T373" s="131"/>
      <c r="U373" s="131"/>
    </row>
    <row r="374" spans="2:21" ht="98.25" customHeight="1">
      <c r="B374" s="136" t="s">
        <v>201</v>
      </c>
      <c r="C374" s="154"/>
      <c r="D374" s="1131" t="s">
        <v>765</v>
      </c>
      <c r="E374" s="1132"/>
      <c r="F374" s="1132"/>
      <c r="G374" s="1132"/>
      <c r="H374" s="1132"/>
      <c r="I374" s="1132"/>
      <c r="J374" s="1132"/>
      <c r="M374" s="131"/>
      <c r="N374" s="131"/>
      <c r="O374" s="131"/>
      <c r="P374" s="131"/>
      <c r="Q374" s="131"/>
      <c r="R374" s="131"/>
      <c r="S374" s="131"/>
      <c r="T374" s="131"/>
      <c r="U374" s="131"/>
    </row>
    <row r="375" spans="2:21" ht="15.75">
      <c r="B375" s="136"/>
      <c r="C375" s="154"/>
      <c r="D375" s="295"/>
      <c r="E375" s="296"/>
      <c r="F375" s="296"/>
      <c r="G375" s="296"/>
      <c r="H375" s="296"/>
      <c r="I375" s="296"/>
      <c r="J375" s="296"/>
      <c r="M375" s="131"/>
      <c r="N375" s="131"/>
      <c r="O375" s="131"/>
      <c r="P375" s="131"/>
      <c r="Q375" s="131"/>
      <c r="R375" s="131"/>
      <c r="S375" s="131"/>
      <c r="T375" s="131"/>
      <c r="U375" s="131"/>
    </row>
    <row r="376" spans="2:21">
      <c r="B376" s="136" t="s">
        <v>561</v>
      </c>
      <c r="C376" s="297"/>
      <c r="D376" s="1130" t="s">
        <v>607</v>
      </c>
      <c r="E376" s="1130"/>
      <c r="F376" s="1130"/>
      <c r="G376" s="1130"/>
      <c r="H376" s="1130"/>
      <c r="I376" s="1130"/>
      <c r="J376" s="1130"/>
      <c r="K376" s="298"/>
      <c r="M376" s="131"/>
      <c r="N376" s="131"/>
      <c r="O376" s="131"/>
      <c r="P376" s="131"/>
      <c r="Q376" s="131"/>
      <c r="R376" s="131"/>
      <c r="S376" s="131"/>
      <c r="T376" s="131"/>
      <c r="U376" s="131"/>
    </row>
    <row r="377" spans="2:21">
      <c r="B377" s="136"/>
      <c r="C377" s="137"/>
      <c r="D377" s="126" t="s">
        <v>416</v>
      </c>
      <c r="M377" s="131"/>
      <c r="N377" s="131"/>
      <c r="O377" s="131"/>
      <c r="P377" s="131"/>
      <c r="Q377" s="131"/>
      <c r="R377" s="131"/>
      <c r="S377" s="131"/>
      <c r="T377" s="131"/>
      <c r="U377" s="131"/>
    </row>
    <row r="378" spans="2:21">
      <c r="B378" s="136" t="s">
        <v>608</v>
      </c>
      <c r="C378" s="137"/>
      <c r="D378" s="126" t="s">
        <v>609</v>
      </c>
      <c r="M378" s="131"/>
      <c r="N378" s="131"/>
      <c r="O378" s="131"/>
      <c r="P378" s="131"/>
      <c r="Q378" s="131"/>
      <c r="R378" s="131"/>
      <c r="S378" s="131"/>
      <c r="T378" s="131"/>
      <c r="U378" s="131"/>
    </row>
    <row r="379" spans="2:21">
      <c r="B379" s="136"/>
      <c r="C379" s="137"/>
      <c r="M379" s="131"/>
      <c r="N379" s="131"/>
      <c r="O379" s="131"/>
      <c r="P379" s="131"/>
      <c r="Q379" s="131"/>
      <c r="R379" s="131"/>
      <c r="S379" s="131"/>
      <c r="T379" s="131"/>
      <c r="U379" s="131"/>
    </row>
    <row r="380" spans="2:21" ht="30" customHeight="1">
      <c r="B380" s="136" t="s">
        <v>610</v>
      </c>
      <c r="C380" s="137"/>
      <c r="D380" s="1130" t="s">
        <v>611</v>
      </c>
      <c r="E380" s="1130"/>
      <c r="F380" s="1130"/>
      <c r="G380" s="1130"/>
      <c r="H380" s="1130"/>
      <c r="I380" s="1130"/>
      <c r="J380" s="1130"/>
      <c r="K380" s="1130"/>
      <c r="M380" s="131"/>
      <c r="N380" s="131"/>
      <c r="O380" s="131"/>
      <c r="P380" s="131"/>
      <c r="Q380" s="131"/>
      <c r="R380" s="131"/>
      <c r="S380" s="131"/>
      <c r="T380" s="131"/>
      <c r="U380" s="131"/>
    </row>
    <row r="381" spans="2:21">
      <c r="B381"/>
      <c r="C381"/>
      <c r="D381"/>
      <c r="E381"/>
      <c r="F381"/>
      <c r="G381"/>
      <c r="H381"/>
      <c r="M381" s="131"/>
      <c r="N381" s="131"/>
      <c r="O381" s="131"/>
      <c r="P381" s="131"/>
      <c r="Q381" s="131"/>
      <c r="R381" s="131"/>
      <c r="S381" s="131"/>
      <c r="T381" s="131"/>
      <c r="U381" s="131"/>
    </row>
    <row r="382" spans="2:21" ht="46.5" customHeight="1">
      <c r="B382" s="1" t="s">
        <v>612</v>
      </c>
      <c r="C382"/>
      <c r="D382" s="1130" t="s">
        <v>616</v>
      </c>
      <c r="E382" s="1130"/>
      <c r="F382" s="1130"/>
      <c r="G382" s="1130"/>
      <c r="H382" s="1130"/>
      <c r="I382" s="1130"/>
      <c r="J382" s="1130"/>
      <c r="K382" s="1130"/>
      <c r="M382" s="131"/>
      <c r="N382" s="131"/>
      <c r="O382" s="131"/>
      <c r="P382" s="131"/>
      <c r="Q382" s="131"/>
      <c r="R382" s="131"/>
      <c r="S382" s="131"/>
      <c r="T382" s="131"/>
      <c r="U382" s="131"/>
    </row>
    <row r="383" spans="2:21">
      <c r="B383" s="906" t="s">
        <v>640</v>
      </c>
      <c r="C383" s="907"/>
      <c r="D383" s="908" t="s">
        <v>641</v>
      </c>
      <c r="E383" s="754"/>
      <c r="F383" s="754"/>
      <c r="G383" s="754"/>
      <c r="H383" s="754"/>
      <c r="M383" s="131"/>
      <c r="N383" s="131"/>
      <c r="O383" s="131"/>
      <c r="P383" s="131"/>
      <c r="Q383" s="131"/>
      <c r="R383" s="131"/>
      <c r="S383" s="131"/>
      <c r="T383" s="131"/>
      <c r="U383" s="131"/>
    </row>
    <row r="384" spans="2:21">
      <c r="B384" s="17" t="s">
        <v>807</v>
      </c>
      <c r="C384"/>
      <c r="D384" s="1129" t="s">
        <v>808</v>
      </c>
      <c r="E384" s="1129"/>
      <c r="F384" s="1129"/>
      <c r="G384" s="1129"/>
      <c r="H384" s="1129"/>
      <c r="I384" s="1129"/>
      <c r="J384" s="1129"/>
      <c r="K384" s="1129"/>
      <c r="M384" s="131"/>
      <c r="N384" s="131"/>
      <c r="O384" s="131"/>
      <c r="P384" s="131"/>
      <c r="Q384" s="131"/>
      <c r="R384" s="131"/>
      <c r="S384" s="131"/>
      <c r="T384" s="131"/>
      <c r="U384" s="131"/>
    </row>
    <row r="385" spans="2:21">
      <c r="B385"/>
      <c r="C385"/>
      <c r="D385" s="1129"/>
      <c r="E385" s="1129"/>
      <c r="F385" s="1129"/>
      <c r="G385" s="1129"/>
      <c r="H385" s="1129"/>
      <c r="I385" s="1129"/>
      <c r="J385" s="1129"/>
      <c r="K385" s="1129"/>
      <c r="M385" s="131"/>
      <c r="N385" s="131"/>
      <c r="O385" s="131"/>
      <c r="P385" s="131"/>
      <c r="Q385" s="131"/>
      <c r="R385" s="131"/>
      <c r="S385" s="131"/>
      <c r="T385" s="131"/>
      <c r="U385" s="131"/>
    </row>
    <row r="386" spans="2:21">
      <c r="B386" s="285" t="s">
        <v>1032</v>
      </c>
      <c r="D386" s="126" t="s">
        <v>1033</v>
      </c>
      <c r="M386" s="131"/>
      <c r="N386" s="131"/>
      <c r="O386" s="131"/>
      <c r="P386" s="131"/>
      <c r="Q386" s="131"/>
      <c r="R386" s="131"/>
      <c r="S386" s="131"/>
      <c r="T386" s="131"/>
      <c r="U386" s="131"/>
    </row>
    <row r="387" spans="2:21">
      <c r="H387" s="131"/>
      <c r="I387" s="131"/>
      <c r="J387" s="131"/>
      <c r="K387" s="131"/>
      <c r="L387" s="131"/>
      <c r="M387" s="131"/>
      <c r="N387" s="131"/>
      <c r="O387" s="131"/>
      <c r="P387" s="131"/>
      <c r="Q387" s="131"/>
      <c r="R387" s="131"/>
      <c r="S387" s="131"/>
      <c r="T387" s="131"/>
      <c r="U387" s="131"/>
    </row>
    <row r="388" spans="2:21">
      <c r="B388" s="285" t="s">
        <v>1034</v>
      </c>
      <c r="D388" s="126" t="s">
        <v>1035</v>
      </c>
      <c r="H388" s="131"/>
      <c r="K388" s="131"/>
      <c r="L388" s="131"/>
      <c r="M388" s="131"/>
      <c r="N388" s="131"/>
      <c r="O388" s="131"/>
      <c r="P388" s="131"/>
      <c r="Q388" s="131"/>
      <c r="R388" s="131"/>
      <c r="S388" s="131"/>
      <c r="T388" s="131"/>
      <c r="U388" s="131"/>
    </row>
  </sheetData>
  <mergeCells count="23">
    <mergeCell ref="D384:K385"/>
    <mergeCell ref="D382:K382"/>
    <mergeCell ref="D374:J374"/>
    <mergeCell ref="D322:K324"/>
    <mergeCell ref="D339:K339"/>
    <mergeCell ref="D326:K328"/>
    <mergeCell ref="D376:J376"/>
    <mergeCell ref="D329:J330"/>
    <mergeCell ref="D346:L348"/>
    <mergeCell ref="D335:J337"/>
    <mergeCell ref="D380:K380"/>
    <mergeCell ref="D360:J360"/>
    <mergeCell ref="D368:J370"/>
    <mergeCell ref="G266:H266"/>
    <mergeCell ref="G247:H247"/>
    <mergeCell ref="D298:K299"/>
    <mergeCell ref="D367:J367"/>
    <mergeCell ref="B21:I22"/>
    <mergeCell ref="I57:J57"/>
    <mergeCell ref="I60:J60"/>
    <mergeCell ref="I127:J127"/>
    <mergeCell ref="I130:J130"/>
    <mergeCell ref="D39:L39"/>
  </mergeCells>
  <phoneticPr fontId="0" type="noConversion"/>
  <pageMargins left="0.26" right="1.28" top="1" bottom="1" header="0.86" footer="0.5"/>
  <pageSetup scale="33" fitToHeight="5" orientation="portrait" r:id="rId1"/>
  <headerFooter alignWithMargins="0">
    <oddHeader>&amp;R&amp;"Arial,Bold"Formula Rate 
&amp;A
Page &amp;P of &amp;N</oddHeader>
  </headerFooter>
  <rowBreaks count="4" manualBreakCount="4">
    <brk id="48" max="11" man="1"/>
    <brk id="119" max="11" man="1"/>
    <brk id="200" max="11" man="1"/>
    <brk id="272"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V151"/>
  <sheetViews>
    <sheetView tabSelected="1" topLeftCell="A7" zoomScaleNormal="100" workbookViewId="0">
      <selection activeCell="B7" sqref="B7"/>
    </sheetView>
  </sheetViews>
  <sheetFormatPr defaultRowHeight="15"/>
  <cols>
    <col min="1" max="1" width="9.42578125" style="372" customWidth="1"/>
    <col min="2" max="2" width="6.7109375" style="372" customWidth="1"/>
    <col min="3" max="7" width="12.7109375" style="372" customWidth="1"/>
    <col min="8" max="8" width="19.28515625" style="372" customWidth="1"/>
    <col min="9" max="9" width="15" style="372" bestFit="1" customWidth="1"/>
    <col min="10" max="11" width="16.5703125" style="372" bestFit="1" customWidth="1"/>
    <col min="12" max="13" width="22.140625" style="372" bestFit="1" customWidth="1"/>
    <col min="14" max="14" width="8.42578125" style="372" customWidth="1"/>
    <col min="15" max="38" width="12.7109375" style="372" customWidth="1"/>
    <col min="39" max="16384" width="9.140625" style="372"/>
  </cols>
  <sheetData>
    <row r="1" spans="1:22" ht="15.75">
      <c r="A1" s="744" t="s">
        <v>416</v>
      </c>
    </row>
    <row r="2" spans="1:22" ht="15.75">
      <c r="A2" s="744" t="s">
        <v>416</v>
      </c>
    </row>
    <row r="3" spans="1:22">
      <c r="A3" s="1146" t="str">
        <f>TCOS!$F$5</f>
        <v>AEPTCo subsidiaries in PJM</v>
      </c>
      <c r="B3" s="1146" t="str">
        <f>TCOS!$F$5</f>
        <v>AEPTCo subsidiaries in PJM</v>
      </c>
      <c r="C3" s="1146" t="str">
        <f>TCOS!$F$5</f>
        <v>AEPTCo subsidiaries in PJM</v>
      </c>
      <c r="D3" s="1146" t="str">
        <f>TCOS!$F$5</f>
        <v>AEPTCo subsidiaries in PJM</v>
      </c>
      <c r="E3" s="1146" t="str">
        <f>TCOS!$F$5</f>
        <v>AEPTCo subsidiaries in PJM</v>
      </c>
      <c r="F3" s="1146" t="str">
        <f>TCOS!$F$5</f>
        <v>AEPTCo subsidiaries in PJM</v>
      </c>
      <c r="G3" s="1146" t="str">
        <f>TCOS!$F$5</f>
        <v>AEPTCo subsidiaries in PJM</v>
      </c>
      <c r="H3" s="1146" t="str">
        <f>TCOS!$F$5</f>
        <v>AEPTCo subsidiaries in PJM</v>
      </c>
      <c r="I3" s="1146" t="str">
        <f>TCOS!$F$5</f>
        <v>AEPTCo subsidiaries in PJM</v>
      </c>
      <c r="J3" s="1146" t="str">
        <f>TCOS!$F$5</f>
        <v>AEPTCo subsidiaries in PJM</v>
      </c>
      <c r="K3" s="1146" t="str">
        <f>TCOS!$F$5</f>
        <v>AEPTCo subsidiaries in PJM</v>
      </c>
      <c r="L3" s="17"/>
      <c r="M3" s="17"/>
      <c r="N3" s="17"/>
      <c r="O3" s="17"/>
    </row>
    <row r="4" spans="1:22">
      <c r="A4" s="1147" t="str">
        <f>"Cost of Service Formula Rate Using Actual/Projected FF1 Balances"</f>
        <v>Cost of Service Formula Rate Using Actual/Projected FF1 Balances</v>
      </c>
      <c r="B4" s="1147"/>
      <c r="C4" s="1147"/>
      <c r="D4" s="1147"/>
      <c r="E4" s="1147"/>
      <c r="F4" s="1147"/>
      <c r="G4" s="1147"/>
      <c r="H4" s="1147"/>
      <c r="I4" s="1147"/>
      <c r="J4" s="1147"/>
      <c r="K4" s="1147"/>
      <c r="L4" s="45"/>
      <c r="M4" s="45"/>
      <c r="N4" s="45"/>
      <c r="O4" s="45"/>
    </row>
    <row r="5" spans="1:22">
      <c r="A5" s="1147" t="s">
        <v>22</v>
      </c>
      <c r="B5" s="1147"/>
      <c r="C5" s="1147"/>
      <c r="D5" s="1147"/>
      <c r="E5" s="1147"/>
      <c r="F5" s="1147"/>
      <c r="G5" s="1147"/>
      <c r="H5" s="1147"/>
      <c r="I5" s="1147"/>
      <c r="J5" s="1147"/>
      <c r="K5" s="1147"/>
      <c r="L5" s="44"/>
      <c r="M5" s="44"/>
      <c r="N5" s="44"/>
      <c r="O5" s="44"/>
    </row>
    <row r="6" spans="1:22">
      <c r="A6" s="1154" t="str">
        <f>TCOS!F9</f>
        <v>AEP Kentucky Transmission Company</v>
      </c>
      <c r="B6" s="1154"/>
      <c r="C6" s="1154"/>
      <c r="D6" s="1154"/>
      <c r="E6" s="1154"/>
      <c r="F6" s="1154"/>
      <c r="G6" s="1154"/>
      <c r="H6" s="1154"/>
      <c r="I6" s="1154"/>
      <c r="J6" s="1154"/>
      <c r="K6" s="1154"/>
      <c r="L6" s="2"/>
      <c r="M6" s="2"/>
      <c r="N6" s="2"/>
      <c r="O6" s="2"/>
    </row>
    <row r="8" spans="1:22" ht="18">
      <c r="A8" s="1179"/>
      <c r="B8" s="1179"/>
      <c r="C8" s="1179"/>
      <c r="D8" s="1179"/>
      <c r="E8" s="1179"/>
      <c r="F8" s="1179"/>
      <c r="G8" s="1179"/>
      <c r="H8" s="1179"/>
      <c r="I8" s="1179"/>
      <c r="J8" s="1179"/>
      <c r="K8" s="1179"/>
      <c r="L8" s="373"/>
      <c r="M8" s="374"/>
    </row>
    <row r="9" spans="1:22" ht="18">
      <c r="A9" s="67"/>
      <c r="B9" s="67"/>
      <c r="C9" s="67"/>
      <c r="D9" s="67"/>
      <c r="E9" s="67"/>
      <c r="F9" s="67"/>
      <c r="G9" s="67"/>
      <c r="H9" s="67"/>
      <c r="I9" s="67"/>
      <c r="J9" s="67"/>
      <c r="K9" s="67"/>
      <c r="L9" s="373"/>
      <c r="M9" s="374"/>
    </row>
    <row r="10" spans="1:22" ht="15.75">
      <c r="A10" s="375" t="s">
        <v>469</v>
      </c>
      <c r="B10" s="373"/>
      <c r="C10" s="16"/>
      <c r="D10" s="16"/>
      <c r="E10" s="16"/>
      <c r="F10" s="16"/>
      <c r="G10" s="376"/>
      <c r="H10" s="376"/>
      <c r="I10" s="375" t="s">
        <v>482</v>
      </c>
      <c r="J10" s="375" t="s">
        <v>365</v>
      </c>
      <c r="K10" s="377"/>
      <c r="N10" s="378"/>
      <c r="P10" s="378"/>
      <c r="R10" s="378"/>
      <c r="S10" s="378"/>
      <c r="T10" s="378"/>
      <c r="U10" s="132"/>
      <c r="V10" s="132"/>
    </row>
    <row r="11" spans="1:22" ht="15.75">
      <c r="A11" s="375" t="s">
        <v>407</v>
      </c>
      <c r="B11" s="1180" t="s">
        <v>467</v>
      </c>
      <c r="C11" s="1180"/>
      <c r="D11" s="1180"/>
      <c r="E11" s="1180"/>
      <c r="F11" s="1180"/>
      <c r="G11" s="1180"/>
      <c r="H11" s="1180"/>
      <c r="I11" s="375" t="s">
        <v>483</v>
      </c>
      <c r="J11" s="375" t="s">
        <v>417</v>
      </c>
      <c r="K11" s="375" t="s">
        <v>417</v>
      </c>
      <c r="N11" s="378"/>
      <c r="O11" s="378"/>
      <c r="P11" s="378"/>
      <c r="Q11" s="378"/>
      <c r="R11" s="378"/>
      <c r="S11" s="378"/>
      <c r="T11" s="379"/>
      <c r="U11" s="132"/>
      <c r="V11" s="132"/>
    </row>
    <row r="12" spans="1:22" ht="15.75">
      <c r="A12" s="376"/>
      <c r="B12" s="380"/>
      <c r="C12" s="373"/>
      <c r="D12" s="376"/>
      <c r="E12" s="376"/>
      <c r="F12" s="376"/>
      <c r="G12" s="376"/>
      <c r="H12" s="376"/>
      <c r="I12" s="376"/>
      <c r="J12" s="376"/>
      <c r="K12" s="381"/>
      <c r="N12" s="378"/>
      <c r="O12" s="378"/>
      <c r="P12" s="378"/>
      <c r="Q12" s="378"/>
      <c r="R12" s="378"/>
      <c r="S12" s="378"/>
      <c r="T12" s="379"/>
      <c r="U12" s="132"/>
      <c r="V12" s="132"/>
    </row>
    <row r="13" spans="1:22" s="384" customFormat="1" ht="12.75">
      <c r="A13" s="382">
        <v>1</v>
      </c>
      <c r="B13" s="383" t="s">
        <v>9</v>
      </c>
      <c r="D13" s="385"/>
      <c r="E13" s="385"/>
      <c r="F13" s="386"/>
      <c r="G13" s="385"/>
      <c r="H13" s="385"/>
      <c r="I13" s="398"/>
      <c r="J13" s="387">
        <f>+I13-K13</f>
        <v>0</v>
      </c>
      <c r="K13" s="398"/>
      <c r="N13" s="3"/>
      <c r="O13" s="3"/>
      <c r="P13" s="3"/>
      <c r="Q13" s="3"/>
      <c r="R13" s="3"/>
      <c r="S13" s="3"/>
      <c r="T13" s="47"/>
      <c r="U13" s="3"/>
      <c r="V13" s="3"/>
    </row>
    <row r="14" spans="1:22" s="384" customFormat="1" ht="12.75">
      <c r="A14" s="382"/>
      <c r="B14" s="383"/>
      <c r="D14" s="385"/>
      <c r="E14" s="385"/>
      <c r="F14" s="386"/>
      <c r="G14" s="385"/>
      <c r="H14" s="385"/>
      <c r="I14" s="388"/>
      <c r="J14" s="386"/>
      <c r="K14" s="386"/>
      <c r="N14" s="3"/>
      <c r="O14" s="3"/>
      <c r="P14" s="3"/>
      <c r="Q14" s="3"/>
      <c r="R14" s="3"/>
      <c r="S14" s="3"/>
      <c r="T14" s="47"/>
      <c r="U14" s="3"/>
      <c r="V14" s="3"/>
    </row>
    <row r="15" spans="1:22" s="384" customFormat="1" ht="12.75">
      <c r="A15" s="382">
        <f>+A13+1</f>
        <v>2</v>
      </c>
      <c r="B15" s="383" t="s">
        <v>10</v>
      </c>
      <c r="D15" s="385"/>
      <c r="E15" s="385"/>
      <c r="F15" s="386"/>
      <c r="G15" s="385"/>
      <c r="H15" s="386"/>
      <c r="I15" s="398"/>
      <c r="J15" s="387">
        <f>+I15-K15</f>
        <v>0</v>
      </c>
      <c r="K15" s="398"/>
      <c r="N15" s="3"/>
      <c r="O15" s="3"/>
      <c r="P15" s="3"/>
      <c r="Q15" s="3"/>
      <c r="R15" s="3"/>
      <c r="S15" s="3"/>
      <c r="T15" s="3"/>
      <c r="U15" s="3"/>
      <c r="V15" s="3"/>
    </row>
    <row r="16" spans="1:22" s="384" customFormat="1" ht="12.75">
      <c r="A16" s="382"/>
      <c r="B16" s="383"/>
      <c r="D16" s="385"/>
      <c r="E16" s="385"/>
      <c r="F16" s="386"/>
      <c r="G16" s="385"/>
      <c r="H16" s="386"/>
      <c r="I16" s="386"/>
      <c r="J16" s="386"/>
      <c r="K16" s="389"/>
      <c r="N16" s="3"/>
      <c r="O16" s="3"/>
      <c r="P16" s="3"/>
      <c r="Q16" s="3"/>
      <c r="R16" s="3"/>
      <c r="S16" s="3"/>
      <c r="T16" s="3"/>
      <c r="U16" s="3"/>
      <c r="V16" s="3"/>
    </row>
    <row r="17" spans="1:22" s="384" customFormat="1" ht="12.75">
      <c r="A17" s="382">
        <f>+A15+1</f>
        <v>3</v>
      </c>
      <c r="B17" s="383" t="s">
        <v>11</v>
      </c>
      <c r="D17" s="385"/>
      <c r="E17" s="385"/>
      <c r="F17" s="386"/>
      <c r="G17" s="385"/>
      <c r="H17" s="385"/>
      <c r="I17" s="398">
        <v>418323.20400000003</v>
      </c>
      <c r="J17" s="387">
        <f>+I17-K17</f>
        <v>0</v>
      </c>
      <c r="K17" s="398">
        <f>I17</f>
        <v>418323.20400000003</v>
      </c>
      <c r="N17" s="3"/>
      <c r="O17" s="3"/>
      <c r="P17" s="3"/>
      <c r="Q17" s="3"/>
      <c r="R17" s="3"/>
      <c r="S17" s="3"/>
      <c r="T17" s="3"/>
      <c r="U17" s="3"/>
      <c r="V17" s="3"/>
    </row>
    <row r="18" spans="1:22" s="384" customFormat="1" ht="12.75">
      <c r="A18" s="382"/>
      <c r="B18" s="386"/>
      <c r="D18" s="385"/>
      <c r="E18" s="385"/>
      <c r="F18" s="386"/>
      <c r="G18" s="389"/>
      <c r="H18" s="386"/>
      <c r="I18" s="386"/>
      <c r="J18" s="386"/>
      <c r="K18" s="386"/>
      <c r="N18" s="3"/>
      <c r="O18" s="3"/>
      <c r="P18" s="3"/>
      <c r="Q18" s="3"/>
      <c r="R18" s="3"/>
      <c r="S18" s="3"/>
      <c r="T18" s="3"/>
      <c r="U18" s="3"/>
      <c r="V18" s="3"/>
    </row>
    <row r="19" spans="1:22" s="384" customFormat="1" ht="12.75">
      <c r="A19" s="740">
        <v>4</v>
      </c>
      <c r="B19" s="913" t="s">
        <v>770</v>
      </c>
      <c r="C19" s="3"/>
      <c r="D19" s="914"/>
      <c r="E19" s="914"/>
      <c r="F19" s="914"/>
      <c r="G19" s="741"/>
      <c r="H19" s="914"/>
      <c r="I19" s="398"/>
      <c r="J19" s="387">
        <f>+I19-K19</f>
        <v>0</v>
      </c>
      <c r="K19" s="398"/>
      <c r="N19" s="391"/>
      <c r="O19" s="3"/>
      <c r="P19" s="3"/>
      <c r="Q19" s="3"/>
      <c r="R19" s="3"/>
      <c r="S19" s="3"/>
      <c r="T19" s="3"/>
      <c r="U19" s="3"/>
      <c r="V19" s="3"/>
    </row>
    <row r="20" spans="1:22" s="384" customFormat="1" ht="12.75">
      <c r="A20" s="740"/>
      <c r="B20" s="913"/>
      <c r="C20" s="3"/>
      <c r="D20" s="914"/>
      <c r="E20" s="914"/>
      <c r="F20" s="914"/>
      <c r="G20" s="741"/>
      <c r="H20" s="914"/>
      <c r="I20" s="3"/>
      <c r="J20" s="3"/>
      <c r="K20" s="3"/>
      <c r="L20" s="3"/>
      <c r="N20" s="391"/>
      <c r="O20" s="3"/>
      <c r="P20" s="3"/>
      <c r="Q20" s="3"/>
      <c r="R20" s="3"/>
      <c r="S20" s="3"/>
      <c r="T20" s="3"/>
      <c r="U20" s="3"/>
      <c r="V20" s="3"/>
    </row>
    <row r="21" spans="1:22" s="384" customFormat="1" ht="12.75">
      <c r="A21" s="740">
        <v>5</v>
      </c>
      <c r="B21" s="913" t="s">
        <v>771</v>
      </c>
      <c r="C21" s="3"/>
      <c r="D21" s="914"/>
      <c r="E21" s="914"/>
      <c r="F21" s="914"/>
      <c r="G21" s="741"/>
      <c r="H21" s="914"/>
      <c r="I21" s="398">
        <v>21610564.559999999</v>
      </c>
      <c r="J21" s="387">
        <f>+I21-K21</f>
        <v>21610564.559999999</v>
      </c>
      <c r="K21" s="398"/>
      <c r="N21" s="391"/>
      <c r="O21" s="3"/>
      <c r="P21" s="3"/>
      <c r="Q21" s="3"/>
      <c r="R21" s="3"/>
      <c r="S21" s="3"/>
      <c r="T21" s="3"/>
      <c r="U21" s="3"/>
      <c r="V21" s="3"/>
    </row>
    <row r="22" spans="1:22" s="384" customFormat="1" ht="12.75">
      <c r="A22" s="740"/>
      <c r="B22" s="913"/>
      <c r="C22" s="3"/>
      <c r="D22" s="914"/>
      <c r="E22" s="914"/>
      <c r="F22" s="914"/>
      <c r="G22" s="741"/>
      <c r="H22" s="914"/>
      <c r="I22" s="398"/>
      <c r="J22" s="387"/>
      <c r="K22" s="398"/>
      <c r="N22" s="391"/>
      <c r="O22" s="3"/>
      <c r="P22" s="3"/>
      <c r="Q22" s="3"/>
      <c r="R22" s="3"/>
      <c r="S22" s="3"/>
      <c r="T22" s="3"/>
      <c r="U22" s="3"/>
      <c r="V22" s="3"/>
    </row>
    <row r="23" spans="1:22" s="384" customFormat="1" ht="12.75">
      <c r="A23" s="740" t="s">
        <v>626</v>
      </c>
      <c r="B23" s="913" t="s">
        <v>627</v>
      </c>
      <c r="C23" s="3"/>
      <c r="D23" s="914"/>
      <c r="E23" s="914"/>
      <c r="F23" s="914"/>
      <c r="G23" s="741"/>
      <c r="H23" s="914"/>
      <c r="I23" s="742"/>
      <c r="J23" s="743">
        <v>0</v>
      </c>
      <c r="K23" s="742"/>
      <c r="N23" s="391"/>
      <c r="O23" s="3"/>
      <c r="P23" s="3"/>
      <c r="Q23" s="3"/>
      <c r="R23" s="3"/>
      <c r="S23" s="3"/>
      <c r="T23" s="3"/>
      <c r="U23" s="3"/>
      <c r="V23" s="3"/>
    </row>
    <row r="24" spans="1:22" s="384" customFormat="1" ht="12.75">
      <c r="A24" s="740"/>
      <c r="B24" s="913"/>
      <c r="C24" s="3"/>
      <c r="D24" s="914"/>
      <c r="E24" s="914"/>
      <c r="F24" s="914"/>
      <c r="G24" s="741"/>
      <c r="H24" s="914"/>
      <c r="I24" s="742"/>
      <c r="J24" s="743"/>
      <c r="K24" s="742"/>
      <c r="N24" s="391"/>
      <c r="O24" s="3"/>
      <c r="P24" s="3"/>
      <c r="Q24" s="3"/>
      <c r="R24" s="3"/>
      <c r="S24" s="3"/>
      <c r="T24" s="3"/>
      <c r="U24" s="3"/>
      <c r="V24" s="3"/>
    </row>
    <row r="25" spans="1:22" s="384" customFormat="1" ht="12.75">
      <c r="A25" s="740" t="s">
        <v>628</v>
      </c>
      <c r="B25" s="913" t="s">
        <v>629</v>
      </c>
      <c r="C25" s="3"/>
      <c r="D25" s="914"/>
      <c r="E25" s="914"/>
      <c r="F25" s="914"/>
      <c r="G25" s="741"/>
      <c r="H25" s="914"/>
      <c r="I25" s="742"/>
      <c r="J25" s="743">
        <v>0</v>
      </c>
      <c r="K25" s="742"/>
      <c r="N25" s="391"/>
      <c r="O25" s="3"/>
      <c r="P25" s="3"/>
      <c r="Q25" s="3"/>
      <c r="R25" s="3"/>
      <c r="S25" s="3"/>
      <c r="T25" s="3"/>
      <c r="U25" s="3"/>
      <c r="V25" s="3"/>
    </row>
    <row r="26" spans="1:22" s="384" customFormat="1" ht="12.75">
      <c r="A26" s="382"/>
      <c r="B26" s="390"/>
      <c r="D26" s="385"/>
      <c r="E26" s="385"/>
      <c r="F26" s="386"/>
      <c r="G26" s="389"/>
      <c r="H26" s="386"/>
      <c r="I26" s="3"/>
      <c r="J26" s="3"/>
      <c r="K26" s="3"/>
      <c r="N26" s="3"/>
      <c r="O26" s="3"/>
      <c r="P26" s="3"/>
      <c r="Q26" s="3"/>
      <c r="R26" s="3"/>
      <c r="S26" s="3"/>
      <c r="T26" s="3"/>
      <c r="U26" s="3"/>
      <c r="V26" s="3"/>
    </row>
    <row r="27" spans="1:22" s="384" customFormat="1" ht="12.75">
      <c r="A27" s="382">
        <f>+A21+1</f>
        <v>6</v>
      </c>
      <c r="B27" s="390" t="s">
        <v>335</v>
      </c>
      <c r="D27" s="385"/>
      <c r="E27" s="385"/>
      <c r="F27" s="386"/>
      <c r="G27" s="389"/>
      <c r="H27" s="386"/>
      <c r="I27" s="392">
        <f>+I21+I19+I17+I15+I13+I23+I25</f>
        <v>22028887.763999999</v>
      </c>
      <c r="J27" s="392">
        <f>+J21+J19+J17+J15+J13+J23+J25</f>
        <v>21610564.559999999</v>
      </c>
      <c r="K27" s="392">
        <f>+K21+K19+K17+K15+K13+K23+K25</f>
        <v>418323.20400000003</v>
      </c>
      <c r="N27" s="3"/>
      <c r="O27" s="3"/>
      <c r="P27" s="3"/>
      <c r="Q27" s="3"/>
      <c r="R27" s="3"/>
      <c r="S27" s="3"/>
      <c r="T27" s="3"/>
      <c r="U27" s="3"/>
      <c r="V27" s="3"/>
    </row>
    <row r="28" spans="1:22" s="384" customFormat="1" ht="12.75">
      <c r="A28" s="382"/>
      <c r="B28" s="390"/>
      <c r="D28" s="385"/>
      <c r="E28" s="385"/>
      <c r="F28" s="386"/>
      <c r="G28" s="389"/>
      <c r="H28" s="386"/>
      <c r="I28" s="3"/>
      <c r="J28" s="3"/>
      <c r="K28" s="3"/>
      <c r="N28" s="3"/>
      <c r="O28" s="3"/>
      <c r="P28" s="3"/>
      <c r="Q28" s="3"/>
      <c r="R28" s="3"/>
      <c r="S28" s="3"/>
      <c r="T28" s="3"/>
      <c r="U28" s="3"/>
      <c r="V28" s="3"/>
    </row>
    <row r="29" spans="1:22" s="384" customFormat="1" ht="12.75">
      <c r="A29" s="382">
        <f>+A27+1</f>
        <v>7</v>
      </c>
      <c r="B29" s="1178" t="s">
        <v>12</v>
      </c>
      <c r="C29" s="1120"/>
      <c r="D29" s="1120"/>
      <c r="E29" s="1120"/>
      <c r="F29" s="1120"/>
      <c r="G29" s="1120"/>
      <c r="H29" s="386"/>
      <c r="I29" s="398"/>
      <c r="J29" s="387">
        <f>+I29-K29</f>
        <v>0</v>
      </c>
      <c r="K29" s="398"/>
      <c r="N29" s="3"/>
      <c r="O29" s="3"/>
      <c r="P29" s="3"/>
      <c r="Q29" s="3"/>
      <c r="R29" s="3"/>
      <c r="S29" s="3"/>
      <c r="T29" s="3"/>
      <c r="U29" s="3"/>
      <c r="V29" s="3"/>
    </row>
    <row r="30" spans="1:22" s="384" customFormat="1" ht="12.75">
      <c r="A30" s="382"/>
      <c r="B30" s="1120"/>
      <c r="C30" s="1120"/>
      <c r="D30" s="1120"/>
      <c r="E30" s="1120"/>
      <c r="F30" s="1120"/>
      <c r="G30" s="1120"/>
      <c r="H30" s="386"/>
      <c r="I30" s="387"/>
      <c r="J30" s="386"/>
      <c r="K30" s="387"/>
      <c r="N30" s="3"/>
      <c r="O30" s="3"/>
      <c r="P30" s="3"/>
      <c r="Q30" s="3"/>
      <c r="R30" s="3"/>
      <c r="S30" s="3"/>
      <c r="T30" s="3"/>
      <c r="U30" s="3"/>
      <c r="V30" s="3"/>
    </row>
    <row r="31" spans="1:22" s="384" customFormat="1" ht="12.75">
      <c r="A31" s="382">
        <f>+A29+1</f>
        <v>8</v>
      </c>
      <c r="B31" s="390" t="s">
        <v>507</v>
      </c>
      <c r="D31" s="385"/>
      <c r="E31" s="385"/>
      <c r="F31" s="386"/>
      <c r="G31" s="389"/>
      <c r="H31" s="386"/>
      <c r="I31" s="393">
        <f>+I27+I29</f>
        <v>22028887.763999999</v>
      </c>
      <c r="J31" s="393">
        <f>+J27+J29</f>
        <v>21610564.559999999</v>
      </c>
      <c r="K31" s="393">
        <f>+K27+K29</f>
        <v>418323.20400000003</v>
      </c>
      <c r="N31" s="3"/>
      <c r="O31" s="3"/>
      <c r="P31" s="3"/>
      <c r="Q31" s="3"/>
      <c r="R31" s="3"/>
      <c r="S31" s="3"/>
      <c r="T31" s="3"/>
      <c r="U31" s="3"/>
      <c r="V31" s="3"/>
    </row>
    <row r="32" spans="1:22" s="384" customFormat="1" ht="12.75">
      <c r="A32" s="382"/>
      <c r="B32" s="390"/>
      <c r="D32" s="385"/>
      <c r="E32" s="385"/>
      <c r="F32" s="386"/>
      <c r="G32" s="389"/>
      <c r="H32" s="386"/>
      <c r="I32" s="387"/>
      <c r="J32" s="387"/>
      <c r="K32" s="387"/>
      <c r="N32" s="3"/>
      <c r="O32" s="3"/>
      <c r="P32" s="3"/>
      <c r="Q32" s="3"/>
      <c r="R32" s="3"/>
      <c r="S32" s="3"/>
      <c r="T32" s="3"/>
      <c r="U32" s="3"/>
      <c r="V32" s="3"/>
    </row>
    <row r="33" spans="1:22" s="384" customFormat="1" ht="12.75">
      <c r="A33" s="382">
        <v>9</v>
      </c>
      <c r="B33" s="383" t="s">
        <v>557</v>
      </c>
      <c r="D33" s="385"/>
      <c r="E33" s="385"/>
      <c r="F33" s="386"/>
      <c r="G33" s="389"/>
      <c r="H33" s="386"/>
      <c r="I33" s="387"/>
      <c r="J33" s="387"/>
      <c r="K33" s="398"/>
      <c r="N33" s="3"/>
      <c r="O33" s="3"/>
      <c r="P33" s="3"/>
      <c r="Q33" s="3"/>
      <c r="R33" s="3"/>
      <c r="S33" s="3"/>
      <c r="T33" s="3"/>
      <c r="U33" s="3"/>
      <c r="V33" s="3"/>
    </row>
    <row r="34" spans="1:22" s="384" customFormat="1" ht="12.75">
      <c r="A34" s="382"/>
      <c r="B34" s="390"/>
      <c r="D34" s="385"/>
      <c r="E34" s="385"/>
      <c r="F34" s="386"/>
      <c r="G34" s="389"/>
      <c r="H34" s="386"/>
      <c r="I34" s="387"/>
      <c r="J34" s="387"/>
      <c r="K34" s="387"/>
      <c r="N34" s="3"/>
      <c r="O34" s="3"/>
      <c r="P34" s="3"/>
      <c r="Q34" s="3"/>
      <c r="R34" s="3"/>
      <c r="S34" s="3"/>
      <c r="T34" s="3"/>
      <c r="U34" s="3"/>
      <c r="V34" s="3"/>
    </row>
    <row r="35" spans="1:22" ht="15.75">
      <c r="A35" s="394"/>
      <c r="C35" s="380"/>
      <c r="D35" s="373"/>
      <c r="E35" s="373"/>
      <c r="F35" s="376"/>
      <c r="G35" s="395"/>
      <c r="H35" s="376"/>
      <c r="I35" s="396"/>
      <c r="J35" s="376"/>
      <c r="K35" s="376"/>
      <c r="L35" s="376"/>
      <c r="M35" s="396"/>
      <c r="N35" s="132"/>
      <c r="O35" s="16"/>
      <c r="P35" s="16"/>
      <c r="Q35" s="16"/>
      <c r="R35" s="16"/>
      <c r="S35" s="132"/>
      <c r="T35" s="132"/>
      <c r="U35" s="132"/>
      <c r="V35" s="132"/>
    </row>
    <row r="36" spans="1:22" s="384" customFormat="1" ht="12.75" customHeight="1">
      <c r="A36" s="41" t="s">
        <v>295</v>
      </c>
      <c r="B36" s="1177"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AEP Kentucky Transmission Company's general ledger. The functional amounts identified as transmission revenue also come from the general ledger. </v>
      </c>
      <c r="C36" s="1177"/>
      <c r="D36" s="1177"/>
      <c r="E36" s="1177"/>
      <c r="F36" s="1177"/>
      <c r="G36" s="1177"/>
      <c r="H36" s="1177"/>
      <c r="I36" s="1177"/>
      <c r="J36" s="1177"/>
      <c r="K36" s="3"/>
      <c r="L36" s="3"/>
      <c r="M36" s="3"/>
      <c r="N36" s="3"/>
      <c r="O36" s="3"/>
      <c r="P36" s="3"/>
      <c r="Q36" s="3"/>
      <c r="R36" s="3"/>
      <c r="S36" s="3"/>
      <c r="T36" s="47"/>
      <c r="U36" s="3"/>
      <c r="V36" s="3"/>
    </row>
    <row r="37" spans="1:22" s="384" customFormat="1" ht="12.75">
      <c r="A37" s="3"/>
      <c r="B37" s="1177"/>
      <c r="C37" s="1177"/>
      <c r="D37" s="1177"/>
      <c r="E37" s="1177"/>
      <c r="F37" s="1177"/>
      <c r="G37" s="1177"/>
      <c r="H37" s="1177"/>
      <c r="I37" s="1177"/>
      <c r="J37" s="1177"/>
      <c r="K37" s="3"/>
      <c r="L37" s="3"/>
      <c r="M37" s="70"/>
      <c r="N37" s="70"/>
      <c r="O37" s="70"/>
      <c r="P37" s="70"/>
      <c r="Q37" s="70"/>
      <c r="R37" s="3"/>
      <c r="S37" s="3"/>
      <c r="T37" s="3"/>
      <c r="U37" s="3"/>
      <c r="V37" s="3"/>
    </row>
    <row r="38" spans="1:22" s="384" customFormat="1" ht="12.75">
      <c r="A38" s="3" t="s">
        <v>630</v>
      </c>
      <c r="B38" s="915" t="s">
        <v>631</v>
      </c>
      <c r="C38" s="739"/>
      <c r="D38" s="739"/>
      <c r="E38" s="739"/>
      <c r="F38" s="739"/>
      <c r="G38" s="739"/>
      <c r="H38" s="739"/>
      <c r="I38" s="739"/>
      <c r="J38" s="739"/>
      <c r="K38" s="70"/>
      <c r="L38" s="3"/>
      <c r="M38" s="70"/>
      <c r="N38" s="70"/>
      <c r="O38" s="70"/>
      <c r="P38" s="70"/>
      <c r="Q38" s="70"/>
      <c r="R38" s="3"/>
      <c r="S38" s="3"/>
      <c r="T38" s="3"/>
      <c r="U38" s="3"/>
      <c r="V38" s="3"/>
    </row>
    <row r="39" spans="1:22" ht="15.75">
      <c r="A39" s="132"/>
      <c r="B39" s="132"/>
      <c r="E39" s="397"/>
      <c r="F39" s="397"/>
      <c r="G39" s="397"/>
      <c r="H39" s="397"/>
      <c r="I39" s="397"/>
      <c r="J39" s="397"/>
      <c r="K39" s="397"/>
      <c r="L39" s="132"/>
      <c r="M39" s="397"/>
      <c r="N39" s="397"/>
      <c r="O39" s="397"/>
      <c r="P39" s="397"/>
      <c r="Q39" s="397"/>
      <c r="R39" s="132"/>
      <c r="S39" s="132"/>
      <c r="T39" s="132"/>
      <c r="U39" s="132"/>
      <c r="V39" s="132"/>
    </row>
    <row r="40" spans="1:22" ht="15.75">
      <c r="A40" s="132"/>
      <c r="B40" s="132"/>
      <c r="E40" s="397"/>
      <c r="F40" s="397"/>
      <c r="G40" s="397"/>
      <c r="H40" s="397"/>
      <c r="I40" s="397"/>
      <c r="J40" s="397"/>
      <c r="K40" s="397"/>
      <c r="L40" s="132"/>
      <c r="M40" s="397"/>
      <c r="N40" s="397"/>
      <c r="O40" s="397"/>
      <c r="P40" s="397"/>
      <c r="Q40" s="397"/>
      <c r="R40" s="132"/>
      <c r="S40" s="132"/>
      <c r="T40" s="132"/>
      <c r="U40" s="132"/>
      <c r="V40" s="132"/>
    </row>
    <row r="41" spans="1:22" ht="15.75">
      <c r="A41" s="132"/>
      <c r="B41" s="132"/>
      <c r="E41" s="397"/>
      <c r="F41" s="397"/>
      <c r="G41" s="397"/>
      <c r="H41" s="397"/>
      <c r="I41" s="397"/>
      <c r="J41" s="397"/>
      <c r="K41" s="397"/>
      <c r="L41" s="132"/>
      <c r="M41" s="397"/>
      <c r="N41" s="397"/>
      <c r="O41" s="397"/>
      <c r="P41" s="397"/>
      <c r="Q41" s="397"/>
      <c r="R41" s="132"/>
      <c r="S41" s="132"/>
      <c r="T41" s="132"/>
      <c r="U41" s="132"/>
      <c r="V41" s="132"/>
    </row>
    <row r="42" spans="1:22" ht="15.75">
      <c r="A42" s="132"/>
      <c r="B42" s="132"/>
      <c r="E42" s="397"/>
      <c r="F42" s="397"/>
      <c r="G42" s="397"/>
      <c r="H42" s="397"/>
      <c r="I42" s="397"/>
      <c r="J42" s="397"/>
      <c r="K42" s="397"/>
      <c r="L42" s="132"/>
      <c r="M42" s="397"/>
      <c r="N42" s="397"/>
      <c r="O42" s="397"/>
      <c r="P42" s="397"/>
      <c r="Q42" s="397"/>
      <c r="R42" s="132"/>
      <c r="S42" s="132"/>
      <c r="T42" s="132"/>
      <c r="U42" s="132"/>
      <c r="V42" s="132"/>
    </row>
    <row r="43" spans="1:22" ht="15.75">
      <c r="A43" s="132"/>
      <c r="B43" s="132"/>
      <c r="E43" s="397"/>
      <c r="F43" s="397"/>
      <c r="G43" s="397"/>
      <c r="H43" s="397"/>
      <c r="I43" s="397"/>
      <c r="J43" s="397"/>
      <c r="K43" s="397"/>
      <c r="L43" s="132"/>
      <c r="M43" s="397"/>
      <c r="N43" s="397"/>
      <c r="O43" s="397"/>
      <c r="P43" s="397"/>
      <c r="Q43" s="397"/>
      <c r="R43" s="132"/>
      <c r="S43" s="132"/>
      <c r="T43" s="132"/>
      <c r="U43" s="132"/>
      <c r="V43" s="132"/>
    </row>
    <row r="44" spans="1:22" ht="15.75">
      <c r="A44" s="132"/>
      <c r="B44" s="132"/>
      <c r="E44" s="397"/>
      <c r="F44" s="397"/>
      <c r="G44" s="397"/>
      <c r="H44" s="397"/>
      <c r="I44" s="397"/>
      <c r="J44" s="397"/>
      <c r="K44" s="397"/>
      <c r="L44" s="132"/>
      <c r="M44" s="397"/>
      <c r="N44" s="397"/>
      <c r="O44" s="397"/>
      <c r="P44" s="397"/>
      <c r="Q44" s="397"/>
      <c r="R44" s="132"/>
      <c r="S44" s="132"/>
      <c r="T44" s="132"/>
      <c r="U44" s="132"/>
      <c r="V44" s="132"/>
    </row>
    <row r="45" spans="1:22" ht="15.75">
      <c r="A45" s="132"/>
      <c r="B45" s="132"/>
      <c r="E45" s="397"/>
      <c r="F45" s="397"/>
      <c r="G45" s="397"/>
      <c r="H45" s="397"/>
      <c r="I45" s="397"/>
      <c r="J45" s="397"/>
      <c r="K45" s="397"/>
      <c r="L45" s="132"/>
      <c r="M45" s="397"/>
      <c r="N45" s="397"/>
      <c r="O45" s="397"/>
      <c r="P45" s="397"/>
      <c r="Q45" s="397"/>
      <c r="R45" s="132"/>
      <c r="S45" s="132"/>
      <c r="T45" s="132"/>
      <c r="U45" s="132"/>
      <c r="V45" s="132"/>
    </row>
    <row r="46" spans="1:22" ht="15.75">
      <c r="A46" s="132"/>
      <c r="B46" s="132"/>
      <c r="E46" s="397"/>
      <c r="F46" s="397"/>
      <c r="G46" s="397"/>
      <c r="H46" s="397"/>
      <c r="I46" s="397"/>
      <c r="J46" s="397"/>
      <c r="K46" s="397"/>
      <c r="L46" s="132"/>
      <c r="M46" s="397"/>
      <c r="N46" s="397"/>
      <c r="O46" s="397"/>
      <c r="P46" s="397"/>
      <c r="Q46" s="397"/>
      <c r="R46" s="132"/>
      <c r="S46" s="132"/>
      <c r="T46" s="132"/>
      <c r="U46" s="132"/>
      <c r="V46" s="132"/>
    </row>
    <row r="47" spans="1:22" ht="15.75">
      <c r="A47" s="132"/>
      <c r="B47" s="132"/>
      <c r="E47" s="397"/>
      <c r="F47" s="397"/>
      <c r="G47" s="397"/>
      <c r="H47" s="397"/>
      <c r="I47" s="397"/>
      <c r="J47" s="397"/>
      <c r="K47" s="397"/>
      <c r="L47" s="132"/>
      <c r="M47" s="397"/>
      <c r="N47" s="397"/>
      <c r="O47" s="397"/>
      <c r="P47" s="397"/>
      <c r="Q47" s="397"/>
      <c r="R47" s="132"/>
      <c r="S47" s="132"/>
      <c r="T47" s="132"/>
      <c r="U47" s="132"/>
      <c r="V47" s="132"/>
    </row>
    <row r="48" spans="1:22" ht="15.75">
      <c r="A48" s="132"/>
      <c r="B48" s="132"/>
      <c r="E48" s="397"/>
      <c r="F48" s="397"/>
      <c r="G48" s="397"/>
      <c r="H48" s="397"/>
      <c r="I48" s="397"/>
      <c r="J48" s="397"/>
      <c r="K48" s="397"/>
      <c r="L48" s="132"/>
      <c r="M48" s="397"/>
      <c r="N48" s="397"/>
      <c r="O48" s="397"/>
      <c r="P48" s="397"/>
      <c r="Q48" s="397"/>
      <c r="R48" s="132"/>
      <c r="S48" s="132"/>
      <c r="T48" s="132"/>
      <c r="U48" s="132"/>
      <c r="V48" s="132"/>
    </row>
    <row r="49" spans="1:22" ht="15.75">
      <c r="I49" s="397"/>
      <c r="J49" s="397"/>
      <c r="K49" s="397"/>
      <c r="L49" s="132"/>
      <c r="M49" s="397"/>
      <c r="N49" s="397"/>
      <c r="O49" s="397"/>
      <c r="P49" s="397"/>
      <c r="Q49" s="397"/>
      <c r="R49" s="132"/>
      <c r="S49" s="132"/>
      <c r="T49" s="132"/>
      <c r="U49" s="132"/>
      <c r="V49" s="132"/>
    </row>
    <row r="50" spans="1:22" ht="15.75">
      <c r="A50" s="132"/>
      <c r="B50" s="132"/>
      <c r="E50" s="397"/>
      <c r="F50" s="397"/>
      <c r="G50" s="397"/>
      <c r="H50" s="397"/>
      <c r="I50" s="397"/>
      <c r="J50" s="397"/>
      <c r="K50" s="397"/>
      <c r="L50" s="132"/>
      <c r="M50" s="397"/>
      <c r="N50" s="397"/>
      <c r="O50" s="397"/>
      <c r="P50" s="397"/>
      <c r="Q50" s="397"/>
      <c r="R50" s="132"/>
      <c r="S50" s="132"/>
      <c r="T50" s="132"/>
      <c r="U50" s="132"/>
      <c r="V50" s="132"/>
    </row>
    <row r="51" spans="1:22" ht="15.75">
      <c r="A51" s="132"/>
      <c r="B51" s="132"/>
      <c r="E51" s="397"/>
      <c r="F51" s="397"/>
      <c r="G51" s="397"/>
      <c r="H51" s="397"/>
      <c r="I51" s="397"/>
      <c r="J51" s="397"/>
      <c r="K51" s="397"/>
      <c r="L51" s="132"/>
      <c r="M51" s="397"/>
      <c r="N51" s="397"/>
      <c r="O51" s="397"/>
      <c r="P51" s="397"/>
      <c r="Q51" s="397"/>
      <c r="R51" s="132"/>
      <c r="S51" s="132"/>
      <c r="T51" s="132"/>
      <c r="U51" s="132"/>
      <c r="V51" s="132"/>
    </row>
    <row r="52" spans="1:22" ht="15.75">
      <c r="A52" s="132"/>
      <c r="B52" s="132"/>
      <c r="E52" s="397"/>
      <c r="F52" s="397"/>
      <c r="G52" s="397"/>
      <c r="H52" s="397"/>
      <c r="I52" s="397"/>
      <c r="J52" s="397"/>
      <c r="K52" s="397"/>
      <c r="L52" s="132"/>
      <c r="M52" s="397"/>
      <c r="N52" s="397"/>
      <c r="O52" s="397"/>
      <c r="P52" s="397"/>
      <c r="Q52" s="397"/>
      <c r="R52" s="132"/>
      <c r="S52" s="132"/>
      <c r="T52" s="132"/>
      <c r="U52" s="132"/>
      <c r="V52" s="132"/>
    </row>
    <row r="53" spans="1:22" ht="15.75">
      <c r="A53" s="132"/>
      <c r="B53" s="132"/>
      <c r="E53" s="397"/>
      <c r="F53" s="397"/>
      <c r="G53" s="397"/>
      <c r="H53" s="397"/>
      <c r="I53" s="397"/>
      <c r="J53" s="397"/>
      <c r="K53" s="397"/>
      <c r="L53" s="132"/>
      <c r="M53" s="397"/>
      <c r="N53" s="397"/>
      <c r="O53" s="397"/>
      <c r="P53" s="397"/>
      <c r="Q53" s="397"/>
      <c r="R53" s="132"/>
      <c r="S53" s="132"/>
      <c r="T53" s="132"/>
      <c r="U53" s="132"/>
      <c r="V53" s="132"/>
    </row>
    <row r="54" spans="1:22" ht="15.75">
      <c r="A54" s="132"/>
      <c r="B54" s="132"/>
      <c r="E54" s="397"/>
      <c r="F54" s="397"/>
      <c r="G54" s="397"/>
      <c r="H54" s="397"/>
      <c r="I54" s="397"/>
      <c r="J54" s="397"/>
      <c r="K54" s="397"/>
      <c r="L54" s="132"/>
      <c r="M54" s="397"/>
      <c r="N54" s="397"/>
      <c r="O54" s="397"/>
      <c r="P54" s="397"/>
      <c r="Q54" s="397"/>
      <c r="R54" s="132"/>
      <c r="S54" s="132"/>
      <c r="T54" s="132"/>
      <c r="U54" s="132"/>
      <c r="V54" s="132"/>
    </row>
    <row r="55" spans="1:22" ht="15.75">
      <c r="A55" s="132"/>
      <c r="B55" s="132"/>
      <c r="E55" s="397"/>
      <c r="F55" s="397"/>
      <c r="G55" s="397"/>
      <c r="H55" s="397"/>
      <c r="I55" s="397"/>
      <c r="J55" s="397"/>
      <c r="K55" s="397"/>
      <c r="L55" s="132"/>
      <c r="M55" s="397"/>
      <c r="N55" s="397"/>
      <c r="O55" s="397"/>
      <c r="P55" s="397"/>
      <c r="Q55" s="397"/>
      <c r="R55" s="132"/>
      <c r="S55" s="132"/>
      <c r="T55" s="132"/>
      <c r="U55" s="132"/>
      <c r="V55" s="132"/>
    </row>
    <row r="56" spans="1:22" ht="15.75">
      <c r="A56" s="132"/>
      <c r="B56" s="132"/>
      <c r="E56" s="397"/>
      <c r="F56" s="397"/>
      <c r="G56" s="397"/>
      <c r="H56" s="397"/>
      <c r="I56" s="397"/>
      <c r="J56" s="397"/>
      <c r="K56" s="397"/>
      <c r="L56" s="132"/>
      <c r="M56" s="397"/>
      <c r="N56" s="397"/>
      <c r="O56" s="397"/>
      <c r="P56" s="397"/>
      <c r="Q56" s="397"/>
      <c r="R56" s="132"/>
      <c r="S56" s="132"/>
      <c r="T56" s="132"/>
      <c r="U56" s="132"/>
      <c r="V56" s="132"/>
    </row>
    <row r="57" spans="1:22" ht="15.75">
      <c r="A57" s="132"/>
      <c r="B57" s="132"/>
      <c r="E57" s="397"/>
      <c r="F57" s="397"/>
      <c r="G57" s="397"/>
      <c r="H57" s="397"/>
      <c r="I57" s="397"/>
      <c r="J57" s="397"/>
      <c r="K57" s="397"/>
      <c r="L57" s="132"/>
      <c r="M57" s="397"/>
      <c r="N57" s="397"/>
      <c r="O57" s="397"/>
      <c r="P57" s="397"/>
      <c r="Q57" s="397"/>
      <c r="R57" s="132"/>
      <c r="S57" s="132"/>
      <c r="T57" s="132"/>
      <c r="U57" s="132"/>
      <c r="V57" s="132"/>
    </row>
    <row r="58" spans="1:22" ht="15.75">
      <c r="A58" s="132"/>
      <c r="B58" s="132"/>
      <c r="E58" s="397"/>
      <c r="F58" s="397"/>
      <c r="G58" s="397"/>
      <c r="H58" s="397"/>
      <c r="I58" s="397"/>
      <c r="J58" s="397"/>
      <c r="K58" s="397"/>
      <c r="L58" s="132"/>
      <c r="M58" s="397"/>
      <c r="N58" s="397"/>
      <c r="O58" s="397"/>
      <c r="P58" s="397"/>
      <c r="Q58" s="397"/>
      <c r="R58" s="132"/>
      <c r="S58" s="132"/>
      <c r="T58" s="132"/>
      <c r="U58" s="132"/>
      <c r="V58" s="132"/>
    </row>
    <row r="59" spans="1:22" ht="15.75">
      <c r="A59" s="132"/>
      <c r="B59" s="132"/>
      <c r="E59" s="397"/>
      <c r="F59" s="397"/>
      <c r="G59" s="397"/>
      <c r="H59" s="397"/>
      <c r="I59" s="397"/>
      <c r="J59" s="397"/>
      <c r="K59" s="397"/>
      <c r="L59" s="132"/>
      <c r="M59" s="397"/>
      <c r="N59" s="397"/>
      <c r="O59" s="397"/>
      <c r="P59" s="397"/>
      <c r="Q59" s="397"/>
      <c r="R59" s="132"/>
      <c r="S59" s="132"/>
      <c r="T59" s="132"/>
      <c r="U59" s="132"/>
      <c r="V59" s="132"/>
    </row>
    <row r="60" spans="1:22" ht="15.75">
      <c r="A60" s="132"/>
      <c r="B60" s="132"/>
      <c r="E60" s="397"/>
      <c r="F60" s="397"/>
      <c r="G60" s="397"/>
      <c r="H60" s="397"/>
      <c r="I60" s="397"/>
      <c r="J60" s="397"/>
      <c r="K60" s="397"/>
      <c r="L60" s="132"/>
      <c r="M60" s="397"/>
      <c r="N60" s="397"/>
      <c r="O60" s="397"/>
      <c r="P60" s="397"/>
      <c r="Q60" s="397"/>
      <c r="R60" s="132"/>
      <c r="S60" s="132"/>
      <c r="T60" s="132"/>
      <c r="U60" s="132"/>
      <c r="V60" s="132"/>
    </row>
    <row r="61" spans="1:22" ht="15.75">
      <c r="A61" s="132"/>
      <c r="B61" s="132"/>
      <c r="E61" s="397"/>
      <c r="F61" s="397"/>
      <c r="G61" s="397"/>
      <c r="H61" s="397"/>
      <c r="I61" s="397"/>
      <c r="J61" s="397"/>
      <c r="K61" s="397"/>
      <c r="L61" s="132"/>
      <c r="M61" s="397"/>
      <c r="N61" s="397"/>
      <c r="O61" s="397"/>
      <c r="P61" s="397"/>
      <c r="Q61" s="397"/>
      <c r="R61" s="132"/>
      <c r="S61" s="132"/>
      <c r="T61" s="132"/>
      <c r="U61" s="132"/>
      <c r="V61" s="132"/>
    </row>
    <row r="62" spans="1:22" ht="15.75">
      <c r="A62" s="132"/>
      <c r="B62" s="132"/>
      <c r="E62" s="397"/>
      <c r="F62" s="397"/>
      <c r="G62" s="397"/>
      <c r="H62" s="397"/>
      <c r="I62" s="397"/>
      <c r="J62" s="397"/>
      <c r="K62" s="397"/>
      <c r="L62" s="132"/>
      <c r="M62" s="397"/>
      <c r="N62" s="397"/>
      <c r="O62" s="397"/>
      <c r="P62" s="397"/>
      <c r="Q62" s="397"/>
      <c r="R62" s="132"/>
      <c r="S62" s="132"/>
      <c r="T62" s="132"/>
      <c r="U62" s="132"/>
      <c r="V62" s="132"/>
    </row>
    <row r="63" spans="1:22" ht="15.75">
      <c r="A63" s="132"/>
      <c r="B63" s="132"/>
      <c r="E63" s="397"/>
      <c r="F63" s="397"/>
      <c r="G63" s="397"/>
      <c r="H63" s="397"/>
      <c r="I63" s="397"/>
      <c r="J63" s="397"/>
      <c r="K63" s="397"/>
      <c r="L63" s="132"/>
      <c r="M63" s="397"/>
      <c r="N63" s="397"/>
      <c r="O63" s="397"/>
      <c r="P63" s="397"/>
      <c r="Q63" s="397"/>
      <c r="R63" s="132"/>
      <c r="S63" s="132"/>
      <c r="T63" s="132"/>
      <c r="U63" s="132"/>
      <c r="V63" s="132"/>
    </row>
    <row r="64" spans="1:22" ht="15.75">
      <c r="A64" s="132"/>
      <c r="B64" s="132"/>
      <c r="E64" s="397"/>
      <c r="F64" s="397"/>
      <c r="G64" s="397"/>
      <c r="H64" s="397"/>
      <c r="I64" s="397"/>
      <c r="J64" s="397"/>
      <c r="K64" s="397"/>
      <c r="L64" s="132"/>
      <c r="M64" s="397"/>
      <c r="N64" s="397"/>
      <c r="O64" s="397"/>
      <c r="P64" s="397"/>
      <c r="Q64" s="397"/>
      <c r="R64" s="132"/>
      <c r="S64" s="132"/>
      <c r="T64" s="132"/>
      <c r="U64" s="132"/>
      <c r="V64" s="132"/>
    </row>
    <row r="65" spans="1:22" ht="15.75">
      <c r="A65" s="132"/>
      <c r="B65" s="132"/>
      <c r="E65" s="397"/>
      <c r="F65" s="397"/>
      <c r="G65" s="397"/>
      <c r="H65" s="397"/>
      <c r="I65" s="397"/>
      <c r="J65" s="397"/>
      <c r="K65" s="397"/>
      <c r="L65" s="132"/>
      <c r="M65" s="397"/>
      <c r="N65" s="397"/>
      <c r="O65" s="397"/>
      <c r="P65" s="397"/>
      <c r="Q65" s="397"/>
      <c r="R65" s="132"/>
      <c r="S65" s="132"/>
      <c r="T65" s="132"/>
      <c r="U65" s="132"/>
      <c r="V65" s="132"/>
    </row>
    <row r="66" spans="1:22" ht="15.75">
      <c r="A66" s="132"/>
      <c r="B66" s="132"/>
      <c r="E66" s="397"/>
      <c r="F66" s="397"/>
      <c r="G66" s="397"/>
      <c r="H66" s="397"/>
      <c r="I66" s="397"/>
      <c r="J66" s="397"/>
      <c r="K66" s="397"/>
      <c r="L66" s="132"/>
      <c r="M66" s="397"/>
      <c r="N66" s="397"/>
      <c r="O66" s="397"/>
      <c r="P66" s="397"/>
      <c r="Q66" s="397"/>
      <c r="R66" s="132"/>
      <c r="S66" s="132"/>
      <c r="T66" s="132"/>
      <c r="U66" s="132"/>
      <c r="V66" s="132"/>
    </row>
    <row r="67" spans="1:22" ht="15.75">
      <c r="A67" s="132"/>
      <c r="B67" s="132"/>
      <c r="E67" s="397"/>
      <c r="F67" s="397"/>
      <c r="G67" s="397"/>
      <c r="H67" s="397"/>
      <c r="I67" s="397"/>
      <c r="J67" s="397"/>
      <c r="K67" s="397"/>
      <c r="L67" s="132"/>
      <c r="M67" s="397"/>
      <c r="N67" s="397"/>
      <c r="O67" s="397"/>
      <c r="P67" s="397"/>
      <c r="Q67" s="397"/>
      <c r="R67" s="132"/>
      <c r="S67" s="132"/>
      <c r="T67" s="132"/>
      <c r="U67" s="132"/>
      <c r="V67" s="132"/>
    </row>
    <row r="68" spans="1:22" ht="15.75">
      <c r="A68" s="132"/>
      <c r="B68" s="132"/>
      <c r="E68" s="397"/>
      <c r="F68" s="397"/>
      <c r="G68" s="397"/>
      <c r="H68" s="397"/>
      <c r="I68" s="397"/>
      <c r="J68" s="397"/>
      <c r="K68" s="397"/>
      <c r="L68" s="132"/>
      <c r="M68" s="397"/>
      <c r="N68" s="397"/>
      <c r="O68" s="397"/>
      <c r="P68" s="397"/>
      <c r="Q68" s="397"/>
      <c r="R68" s="132"/>
      <c r="S68" s="132"/>
      <c r="T68" s="132"/>
      <c r="U68" s="132"/>
      <c r="V68" s="132"/>
    </row>
    <row r="69" spans="1:22" ht="15.75">
      <c r="A69" s="132"/>
      <c r="B69" s="132"/>
      <c r="E69" s="397"/>
      <c r="F69" s="397"/>
      <c r="G69" s="397"/>
      <c r="H69" s="397"/>
      <c r="I69" s="397"/>
      <c r="J69" s="397"/>
      <c r="K69" s="397"/>
      <c r="L69" s="132"/>
      <c r="M69" s="397"/>
      <c r="N69" s="397"/>
      <c r="O69" s="397"/>
      <c r="P69" s="397"/>
      <c r="Q69" s="397"/>
      <c r="R69" s="132"/>
      <c r="S69" s="132"/>
      <c r="T69" s="132"/>
      <c r="U69" s="132"/>
      <c r="V69" s="132"/>
    </row>
    <row r="70" spans="1:22" ht="15.75">
      <c r="A70" s="132"/>
      <c r="B70" s="132"/>
      <c r="E70" s="397"/>
      <c r="F70" s="397"/>
      <c r="G70" s="397"/>
      <c r="H70" s="397"/>
      <c r="I70" s="397"/>
      <c r="J70" s="397"/>
      <c r="K70" s="397"/>
      <c r="L70" s="132"/>
      <c r="M70" s="397"/>
      <c r="N70" s="397"/>
      <c r="O70" s="397"/>
      <c r="P70" s="397"/>
      <c r="Q70" s="397"/>
      <c r="R70" s="132"/>
      <c r="S70" s="132"/>
      <c r="T70" s="132"/>
      <c r="U70" s="132"/>
      <c r="V70" s="132"/>
    </row>
    <row r="71" spans="1:22" ht="15.75">
      <c r="A71" s="132"/>
      <c r="B71" s="132"/>
      <c r="E71" s="397"/>
      <c r="F71" s="397"/>
      <c r="G71" s="397"/>
      <c r="H71" s="397"/>
      <c r="I71" s="397"/>
      <c r="J71" s="397"/>
      <c r="K71" s="397"/>
      <c r="L71" s="132"/>
      <c r="M71" s="397"/>
      <c r="N71" s="397"/>
      <c r="O71" s="397"/>
      <c r="P71" s="397"/>
      <c r="Q71" s="397"/>
      <c r="R71" s="132"/>
      <c r="S71" s="132"/>
      <c r="T71" s="132"/>
      <c r="U71" s="132"/>
      <c r="V71" s="132"/>
    </row>
    <row r="72" spans="1:22" ht="15.75">
      <c r="A72" s="132"/>
      <c r="B72" s="132"/>
      <c r="E72" s="397"/>
      <c r="F72" s="397"/>
      <c r="G72" s="397"/>
      <c r="H72" s="397"/>
      <c r="I72" s="397"/>
      <c r="J72" s="397"/>
      <c r="K72" s="397"/>
      <c r="L72" s="132"/>
      <c r="M72" s="397"/>
      <c r="N72" s="397"/>
      <c r="O72" s="397"/>
      <c r="P72" s="397"/>
      <c r="Q72" s="397"/>
      <c r="R72" s="132"/>
      <c r="S72" s="132"/>
      <c r="T72" s="132"/>
      <c r="U72" s="132"/>
      <c r="V72" s="132"/>
    </row>
    <row r="73" spans="1:22" ht="15.75">
      <c r="A73" s="132"/>
      <c r="B73" s="132"/>
      <c r="E73" s="397"/>
      <c r="F73" s="397"/>
      <c r="G73" s="397"/>
      <c r="H73" s="397"/>
      <c r="I73" s="397"/>
      <c r="J73" s="397"/>
      <c r="K73" s="397"/>
      <c r="L73" s="132"/>
      <c r="M73" s="397"/>
      <c r="N73" s="397"/>
      <c r="O73" s="397"/>
      <c r="P73" s="397"/>
      <c r="Q73" s="397"/>
      <c r="R73" s="132"/>
      <c r="S73" s="132"/>
      <c r="T73" s="132"/>
      <c r="U73" s="132"/>
      <c r="V73" s="132"/>
    </row>
    <row r="74" spans="1:22" ht="15.75">
      <c r="A74" s="132"/>
      <c r="B74" s="132"/>
      <c r="E74" s="397"/>
      <c r="F74" s="397"/>
      <c r="G74" s="397"/>
      <c r="H74" s="397"/>
      <c r="I74" s="397"/>
      <c r="J74" s="397"/>
      <c r="K74" s="397"/>
      <c r="L74" s="132"/>
      <c r="M74" s="397"/>
      <c r="N74" s="397"/>
      <c r="O74" s="397"/>
      <c r="P74" s="397"/>
      <c r="Q74" s="397"/>
      <c r="R74" s="132"/>
      <c r="S74" s="132"/>
      <c r="T74" s="132"/>
      <c r="U74" s="132"/>
      <c r="V74" s="132"/>
    </row>
    <row r="75" spans="1:22" ht="15.75">
      <c r="A75" s="132"/>
      <c r="B75" s="132"/>
      <c r="E75" s="397"/>
      <c r="F75" s="397"/>
      <c r="G75" s="397"/>
      <c r="H75" s="397"/>
      <c r="I75" s="397"/>
      <c r="J75" s="397"/>
      <c r="K75" s="397"/>
      <c r="L75" s="132"/>
      <c r="M75" s="397"/>
      <c r="N75" s="397"/>
      <c r="O75" s="397"/>
      <c r="P75" s="397"/>
      <c r="Q75" s="397"/>
      <c r="R75" s="132"/>
      <c r="S75" s="132"/>
      <c r="T75" s="132"/>
      <c r="U75" s="132"/>
      <c r="V75" s="132"/>
    </row>
    <row r="76" spans="1:22" ht="15.75">
      <c r="A76" s="132"/>
      <c r="B76" s="132"/>
      <c r="E76" s="397"/>
      <c r="F76" s="397"/>
      <c r="G76" s="397"/>
      <c r="H76" s="397"/>
      <c r="I76" s="397"/>
      <c r="J76" s="397"/>
      <c r="K76" s="397"/>
      <c r="L76" s="132"/>
      <c r="M76" s="397"/>
      <c r="N76" s="397"/>
      <c r="O76" s="397"/>
      <c r="P76" s="397"/>
      <c r="Q76" s="397"/>
      <c r="R76" s="132"/>
      <c r="S76" s="132"/>
      <c r="T76" s="132"/>
      <c r="U76" s="132"/>
      <c r="V76" s="132"/>
    </row>
    <row r="77" spans="1:22" ht="15.75">
      <c r="A77" s="132"/>
      <c r="B77" s="132"/>
      <c r="E77" s="397"/>
      <c r="F77" s="397"/>
      <c r="G77" s="397"/>
      <c r="H77" s="397"/>
      <c r="I77" s="397"/>
      <c r="J77" s="397"/>
      <c r="K77" s="397"/>
      <c r="L77" s="132"/>
      <c r="M77" s="397"/>
      <c r="N77" s="397"/>
      <c r="O77" s="397"/>
      <c r="P77" s="397"/>
      <c r="Q77" s="397"/>
      <c r="R77" s="132"/>
      <c r="S77" s="132"/>
      <c r="T77" s="132"/>
      <c r="U77" s="132"/>
      <c r="V77" s="132"/>
    </row>
    <row r="78" spans="1:22" ht="15.75">
      <c r="A78" s="132"/>
      <c r="B78" s="132"/>
      <c r="E78" s="397"/>
      <c r="F78" s="397"/>
      <c r="G78" s="397"/>
      <c r="H78" s="397"/>
      <c r="I78" s="397"/>
      <c r="J78" s="397"/>
      <c r="K78" s="397"/>
      <c r="L78" s="132"/>
      <c r="M78" s="397"/>
      <c r="N78" s="397"/>
      <c r="O78" s="397"/>
      <c r="P78" s="397"/>
      <c r="Q78" s="397"/>
      <c r="R78" s="132"/>
      <c r="S78" s="132"/>
      <c r="T78" s="132"/>
      <c r="U78" s="132"/>
      <c r="V78" s="132"/>
    </row>
    <row r="79" spans="1:22" ht="15.75">
      <c r="A79" s="132"/>
      <c r="B79" s="132"/>
      <c r="E79" s="397"/>
      <c r="F79" s="397"/>
      <c r="G79" s="397"/>
      <c r="H79" s="397"/>
      <c r="I79" s="397"/>
      <c r="J79" s="397"/>
      <c r="K79" s="397"/>
      <c r="L79" s="132"/>
      <c r="M79" s="397"/>
      <c r="N79" s="397"/>
      <c r="O79" s="397"/>
      <c r="P79" s="397"/>
      <c r="Q79" s="397"/>
      <c r="R79" s="132"/>
      <c r="S79" s="132"/>
      <c r="T79" s="132"/>
      <c r="U79" s="132"/>
      <c r="V79" s="132"/>
    </row>
    <row r="80" spans="1:22" ht="15.75">
      <c r="A80" s="132"/>
      <c r="B80" s="132"/>
      <c r="E80" s="397"/>
      <c r="F80" s="397"/>
      <c r="G80" s="397"/>
      <c r="H80" s="397"/>
      <c r="I80" s="397"/>
      <c r="J80" s="397"/>
      <c r="K80" s="397"/>
      <c r="L80" s="132"/>
      <c r="M80" s="397"/>
      <c r="N80" s="397"/>
      <c r="O80" s="397"/>
      <c r="P80" s="397"/>
      <c r="Q80" s="397"/>
      <c r="R80" s="132"/>
      <c r="S80" s="132"/>
      <c r="T80" s="132"/>
      <c r="U80" s="132"/>
      <c r="V80" s="132"/>
    </row>
    <row r="81" spans="1:22" ht="15.75">
      <c r="A81" s="132"/>
      <c r="B81" s="132"/>
      <c r="E81" s="397"/>
      <c r="F81" s="397"/>
      <c r="G81" s="397"/>
      <c r="H81" s="397"/>
      <c r="I81" s="397"/>
      <c r="J81" s="397"/>
      <c r="K81" s="397"/>
      <c r="L81" s="132"/>
      <c r="M81" s="397"/>
      <c r="N81" s="397"/>
      <c r="O81" s="397"/>
      <c r="P81" s="397"/>
      <c r="Q81" s="397"/>
      <c r="R81" s="132"/>
      <c r="S81" s="132"/>
      <c r="T81" s="132"/>
      <c r="U81" s="132"/>
      <c r="V81" s="132"/>
    </row>
    <row r="82" spans="1:22" ht="15.75">
      <c r="A82" s="132"/>
      <c r="B82" s="132"/>
      <c r="E82" s="397"/>
      <c r="F82" s="397"/>
      <c r="G82" s="397"/>
      <c r="H82" s="397"/>
      <c r="I82" s="397"/>
      <c r="J82" s="397"/>
      <c r="K82" s="397"/>
      <c r="L82" s="132"/>
      <c r="M82" s="397"/>
      <c r="N82" s="397"/>
      <c r="O82" s="397"/>
      <c r="P82" s="397"/>
      <c r="Q82" s="397"/>
      <c r="R82" s="132"/>
      <c r="S82" s="132"/>
      <c r="T82" s="132"/>
      <c r="U82" s="132"/>
      <c r="V82" s="132"/>
    </row>
    <row r="83" spans="1:22" ht="15.75">
      <c r="A83" s="132"/>
      <c r="B83" s="132"/>
      <c r="E83" s="397"/>
      <c r="F83" s="397"/>
      <c r="G83" s="397"/>
      <c r="H83" s="397"/>
      <c r="I83" s="397"/>
      <c r="J83" s="397"/>
      <c r="K83" s="397"/>
      <c r="L83" s="132"/>
      <c r="M83" s="397"/>
      <c r="N83" s="397"/>
      <c r="O83" s="397"/>
      <c r="P83" s="397"/>
      <c r="Q83" s="397"/>
      <c r="R83" s="132"/>
      <c r="S83" s="132"/>
      <c r="T83" s="132"/>
      <c r="U83" s="132"/>
      <c r="V83" s="132"/>
    </row>
    <row r="84" spans="1:22" ht="15.75">
      <c r="A84" s="132"/>
      <c r="B84" s="132"/>
      <c r="E84" s="397"/>
      <c r="F84" s="397"/>
      <c r="G84" s="397"/>
      <c r="H84" s="397"/>
      <c r="I84" s="397"/>
      <c r="J84" s="397"/>
      <c r="K84" s="397"/>
      <c r="L84" s="132"/>
      <c r="M84" s="397"/>
      <c r="N84" s="397"/>
      <c r="O84" s="397"/>
      <c r="P84" s="397"/>
      <c r="Q84" s="397"/>
      <c r="R84" s="132"/>
      <c r="S84" s="132"/>
      <c r="T84" s="132"/>
      <c r="U84" s="132"/>
      <c r="V84" s="132"/>
    </row>
    <row r="85" spans="1:22" ht="15.75">
      <c r="A85" s="132"/>
      <c r="B85" s="132"/>
      <c r="E85" s="397"/>
      <c r="F85" s="397"/>
      <c r="G85" s="397"/>
      <c r="H85" s="397"/>
      <c r="I85" s="397"/>
      <c r="J85" s="397"/>
      <c r="K85" s="397"/>
      <c r="L85" s="132"/>
      <c r="M85" s="397"/>
      <c r="N85" s="397"/>
      <c r="O85" s="397"/>
      <c r="P85" s="397"/>
      <c r="Q85" s="397"/>
      <c r="R85" s="132"/>
      <c r="S85" s="132"/>
      <c r="T85" s="132"/>
      <c r="U85" s="132"/>
      <c r="V85" s="132"/>
    </row>
    <row r="86" spans="1:22" ht="15.75">
      <c r="A86" s="132"/>
      <c r="B86" s="132"/>
      <c r="E86" s="397"/>
      <c r="F86" s="397"/>
      <c r="G86" s="397"/>
      <c r="H86" s="397"/>
      <c r="I86" s="397"/>
      <c r="J86" s="397"/>
      <c r="K86" s="397"/>
      <c r="L86" s="132"/>
      <c r="M86" s="397"/>
      <c r="N86" s="397"/>
      <c r="O86" s="397"/>
      <c r="P86" s="397"/>
      <c r="Q86" s="397"/>
      <c r="R86" s="132"/>
      <c r="S86" s="132"/>
      <c r="T86" s="132"/>
      <c r="U86" s="132"/>
      <c r="V86" s="132"/>
    </row>
    <row r="87" spans="1:22" ht="15.75">
      <c r="A87" s="132"/>
      <c r="B87" s="132"/>
      <c r="E87" s="397"/>
      <c r="F87" s="397"/>
      <c r="G87" s="397"/>
      <c r="H87" s="397"/>
      <c r="I87" s="397"/>
      <c r="J87" s="397"/>
      <c r="K87" s="397"/>
      <c r="L87" s="132"/>
      <c r="M87" s="397"/>
      <c r="N87" s="397"/>
      <c r="O87" s="397"/>
      <c r="P87" s="397"/>
      <c r="Q87" s="397"/>
      <c r="R87" s="132"/>
      <c r="S87" s="132"/>
      <c r="T87" s="132"/>
      <c r="U87" s="132"/>
      <c r="V87" s="132"/>
    </row>
    <row r="88" spans="1:22" ht="15.75">
      <c r="A88" s="132"/>
      <c r="B88" s="132"/>
      <c r="E88" s="397"/>
      <c r="F88" s="397"/>
      <c r="G88" s="397"/>
      <c r="H88" s="397"/>
      <c r="I88" s="397"/>
      <c r="J88" s="397"/>
      <c r="K88" s="397"/>
      <c r="L88" s="132"/>
      <c r="M88" s="397"/>
      <c r="N88" s="397"/>
      <c r="O88" s="397"/>
      <c r="P88" s="397"/>
      <c r="Q88" s="397"/>
      <c r="R88" s="132"/>
      <c r="S88" s="132"/>
      <c r="T88" s="132"/>
      <c r="U88" s="132"/>
      <c r="V88" s="132"/>
    </row>
    <row r="89" spans="1:22" ht="15.75">
      <c r="A89" s="132"/>
      <c r="B89" s="132"/>
      <c r="E89" s="397"/>
      <c r="F89" s="397"/>
      <c r="G89" s="397"/>
      <c r="H89" s="397"/>
      <c r="I89" s="397"/>
      <c r="J89" s="397"/>
      <c r="K89" s="397"/>
      <c r="L89" s="132"/>
      <c r="M89" s="397"/>
      <c r="N89" s="397"/>
      <c r="O89" s="397"/>
      <c r="P89" s="397"/>
      <c r="Q89" s="397"/>
      <c r="R89" s="132"/>
      <c r="S89" s="132"/>
      <c r="T89" s="132"/>
      <c r="U89" s="132"/>
      <c r="V89" s="132"/>
    </row>
    <row r="90" spans="1:22" ht="15.75">
      <c r="A90" s="132"/>
      <c r="B90" s="132"/>
      <c r="E90" s="397"/>
      <c r="F90" s="397"/>
      <c r="G90" s="397"/>
      <c r="H90" s="397"/>
      <c r="I90" s="397"/>
      <c r="J90" s="397"/>
      <c r="K90" s="397"/>
      <c r="L90" s="132"/>
      <c r="M90" s="397"/>
      <c r="N90" s="397"/>
      <c r="O90" s="397"/>
      <c r="P90" s="397"/>
      <c r="Q90" s="397"/>
      <c r="R90" s="132"/>
      <c r="S90" s="132"/>
      <c r="T90" s="132"/>
      <c r="U90" s="132"/>
      <c r="V90" s="132"/>
    </row>
    <row r="91" spans="1:22" ht="15.75">
      <c r="A91" s="132"/>
      <c r="B91" s="132"/>
      <c r="E91" s="397"/>
      <c r="F91" s="397"/>
      <c r="G91" s="397"/>
      <c r="H91" s="397"/>
      <c r="I91" s="397"/>
      <c r="J91" s="397"/>
      <c r="K91" s="397"/>
      <c r="L91" s="132"/>
      <c r="M91" s="397"/>
      <c r="N91" s="397"/>
      <c r="O91" s="397"/>
      <c r="P91" s="397"/>
      <c r="Q91" s="397"/>
      <c r="R91" s="132"/>
      <c r="S91" s="132"/>
      <c r="T91" s="132"/>
      <c r="U91" s="132"/>
      <c r="V91" s="132"/>
    </row>
    <row r="92" spans="1:22" ht="15.75">
      <c r="A92" s="132"/>
      <c r="B92" s="132"/>
      <c r="E92" s="397"/>
      <c r="F92" s="397"/>
      <c r="G92" s="397"/>
      <c r="H92" s="397"/>
      <c r="I92" s="397"/>
      <c r="J92" s="397"/>
      <c r="K92" s="397"/>
      <c r="L92" s="132"/>
      <c r="M92" s="397"/>
      <c r="N92" s="397"/>
      <c r="O92" s="397"/>
      <c r="P92" s="397"/>
      <c r="Q92" s="397"/>
      <c r="R92" s="132"/>
      <c r="S92" s="132"/>
      <c r="T92" s="132"/>
      <c r="U92" s="132"/>
      <c r="V92" s="132"/>
    </row>
    <row r="93" spans="1:22" ht="15.75">
      <c r="A93" s="132"/>
      <c r="B93" s="132"/>
      <c r="E93" s="397"/>
      <c r="F93" s="397"/>
      <c r="G93" s="397"/>
      <c r="H93" s="397"/>
      <c r="I93" s="397"/>
      <c r="J93" s="397"/>
      <c r="K93" s="397"/>
      <c r="L93" s="132"/>
      <c r="M93" s="397"/>
      <c r="N93" s="397"/>
      <c r="O93" s="397"/>
      <c r="P93" s="397"/>
      <c r="Q93" s="397"/>
      <c r="R93" s="132"/>
      <c r="S93" s="132"/>
      <c r="T93" s="132"/>
      <c r="U93" s="132"/>
      <c r="V93" s="132"/>
    </row>
    <row r="94" spans="1:22" ht="15.75">
      <c r="A94" s="132"/>
      <c r="B94" s="132"/>
      <c r="E94" s="397"/>
      <c r="F94" s="397"/>
      <c r="G94" s="397"/>
      <c r="H94" s="397"/>
      <c r="I94" s="397"/>
      <c r="J94" s="397"/>
      <c r="K94" s="397"/>
      <c r="L94" s="132"/>
      <c r="M94" s="397"/>
      <c r="N94" s="397"/>
      <c r="O94" s="397"/>
      <c r="P94" s="397"/>
      <c r="Q94" s="397"/>
      <c r="R94" s="132"/>
      <c r="S94" s="132"/>
      <c r="T94" s="132"/>
      <c r="U94" s="132"/>
      <c r="V94" s="132"/>
    </row>
    <row r="95" spans="1:22" ht="15.75">
      <c r="A95" s="132"/>
      <c r="B95" s="132"/>
      <c r="E95" s="397"/>
      <c r="F95" s="397"/>
      <c r="G95" s="397"/>
      <c r="H95" s="397"/>
      <c r="I95" s="397"/>
      <c r="J95" s="397"/>
      <c r="K95" s="397"/>
      <c r="L95" s="132"/>
      <c r="M95" s="397"/>
      <c r="N95" s="397"/>
      <c r="O95" s="397"/>
      <c r="P95" s="397"/>
      <c r="Q95" s="397"/>
      <c r="R95" s="132"/>
      <c r="S95" s="132"/>
      <c r="T95" s="132"/>
      <c r="U95" s="132"/>
      <c r="V95" s="132"/>
    </row>
    <row r="96" spans="1:22" ht="15.75">
      <c r="A96" s="132"/>
      <c r="B96" s="132"/>
      <c r="E96" s="397"/>
      <c r="F96" s="397"/>
      <c r="G96" s="397"/>
      <c r="H96" s="397"/>
      <c r="I96" s="397"/>
      <c r="J96" s="397"/>
      <c r="K96" s="397"/>
      <c r="L96" s="132"/>
      <c r="M96" s="397"/>
      <c r="N96" s="397"/>
      <c r="O96" s="397"/>
      <c r="P96" s="397"/>
      <c r="Q96" s="397"/>
      <c r="R96" s="132"/>
      <c r="S96" s="132"/>
      <c r="T96" s="132"/>
      <c r="U96" s="132"/>
      <c r="V96" s="132"/>
    </row>
    <row r="97" spans="1:22" ht="15.75">
      <c r="A97" s="132"/>
      <c r="B97" s="132"/>
      <c r="E97" s="397"/>
      <c r="F97" s="397"/>
      <c r="G97" s="397"/>
      <c r="H97" s="397"/>
      <c r="I97" s="397"/>
      <c r="J97" s="397"/>
      <c r="K97" s="397"/>
      <c r="L97" s="132"/>
      <c r="M97" s="397"/>
      <c r="N97" s="397"/>
      <c r="O97" s="397"/>
      <c r="P97" s="397"/>
      <c r="Q97" s="397"/>
      <c r="R97" s="132"/>
      <c r="S97" s="132"/>
      <c r="T97" s="132"/>
      <c r="U97" s="132"/>
      <c r="V97" s="132"/>
    </row>
    <row r="98" spans="1:22" ht="15.75">
      <c r="A98" s="132"/>
      <c r="B98" s="132"/>
      <c r="E98" s="397"/>
      <c r="F98" s="397"/>
      <c r="G98" s="397"/>
      <c r="H98" s="397"/>
      <c r="I98" s="397"/>
      <c r="J98" s="397"/>
      <c r="K98" s="397"/>
      <c r="L98" s="132"/>
      <c r="M98" s="397"/>
      <c r="N98" s="397"/>
      <c r="O98" s="397"/>
      <c r="P98" s="397"/>
      <c r="Q98" s="397"/>
      <c r="R98" s="132"/>
      <c r="S98" s="132"/>
      <c r="T98" s="132"/>
      <c r="U98" s="132"/>
      <c r="V98" s="132"/>
    </row>
    <row r="99" spans="1:22" ht="15.75">
      <c r="A99" s="132"/>
      <c r="B99" s="132"/>
      <c r="E99" s="397"/>
      <c r="F99" s="397"/>
      <c r="G99" s="397"/>
      <c r="H99" s="397"/>
      <c r="I99" s="397"/>
      <c r="J99" s="397"/>
      <c r="K99" s="397"/>
      <c r="L99" s="132"/>
      <c r="M99" s="397"/>
      <c r="N99" s="397"/>
      <c r="O99" s="397"/>
      <c r="P99" s="397"/>
      <c r="Q99" s="397"/>
      <c r="R99" s="132"/>
      <c r="S99" s="132"/>
      <c r="T99" s="132"/>
      <c r="U99" s="132"/>
      <c r="V99" s="132"/>
    </row>
    <row r="100" spans="1:22">
      <c r="A100" s="16"/>
      <c r="B100" s="16"/>
      <c r="C100" s="16"/>
      <c r="D100" s="16"/>
      <c r="E100" s="16"/>
      <c r="F100" s="16"/>
      <c r="G100" s="16"/>
      <c r="H100" s="16"/>
      <c r="I100" s="16"/>
      <c r="J100" s="16"/>
      <c r="K100" s="16"/>
      <c r="L100" s="16"/>
      <c r="M100" s="16"/>
      <c r="N100" s="16"/>
      <c r="O100" s="16"/>
      <c r="P100" s="16"/>
      <c r="Q100" s="16"/>
      <c r="R100" s="16"/>
      <c r="S100" s="16"/>
      <c r="T100" s="16"/>
      <c r="U100" s="16"/>
      <c r="V100" s="16"/>
    </row>
    <row r="101" spans="1:22">
      <c r="A101" s="16"/>
      <c r="B101" s="16"/>
      <c r="C101" s="16"/>
      <c r="D101" s="16"/>
      <c r="E101" s="16"/>
      <c r="F101" s="16"/>
      <c r="G101" s="16"/>
      <c r="H101" s="16"/>
      <c r="I101" s="16"/>
      <c r="J101" s="16"/>
      <c r="K101" s="16"/>
      <c r="L101" s="16"/>
      <c r="M101" s="16"/>
      <c r="N101" s="16"/>
      <c r="O101" s="16"/>
      <c r="P101" s="16"/>
      <c r="Q101" s="16"/>
      <c r="R101" s="16"/>
      <c r="S101" s="16"/>
      <c r="T101" s="16"/>
      <c r="U101" s="16"/>
      <c r="V101" s="16"/>
    </row>
    <row r="102" spans="1:22">
      <c r="A102" s="16"/>
      <c r="B102" s="16"/>
      <c r="C102" s="16"/>
      <c r="D102" s="16"/>
      <c r="E102" s="16"/>
      <c r="F102" s="16"/>
      <c r="G102" s="16"/>
      <c r="H102" s="16"/>
      <c r="I102" s="16"/>
      <c r="J102" s="16"/>
      <c r="K102" s="16"/>
      <c r="L102" s="16"/>
      <c r="M102" s="16"/>
      <c r="N102" s="16"/>
      <c r="O102" s="16"/>
      <c r="P102" s="16"/>
      <c r="Q102" s="16"/>
      <c r="R102" s="16"/>
      <c r="S102" s="16"/>
      <c r="T102" s="16"/>
      <c r="U102" s="16"/>
      <c r="V102" s="16"/>
    </row>
    <row r="103" spans="1:22">
      <c r="A103" s="16"/>
      <c r="B103" s="16"/>
      <c r="C103" s="16"/>
      <c r="D103" s="16"/>
      <c r="E103" s="16"/>
      <c r="F103" s="16"/>
      <c r="G103" s="16"/>
      <c r="H103" s="16"/>
      <c r="I103" s="16"/>
      <c r="J103" s="16"/>
      <c r="K103" s="16"/>
      <c r="L103" s="16"/>
      <c r="M103" s="16"/>
      <c r="N103" s="16"/>
      <c r="O103" s="16"/>
      <c r="P103" s="16"/>
      <c r="Q103" s="16"/>
      <c r="R103" s="16"/>
      <c r="S103" s="16"/>
      <c r="T103" s="16"/>
      <c r="U103" s="16"/>
      <c r="V103" s="16"/>
    </row>
    <row r="104" spans="1:22">
      <c r="A104" s="16"/>
      <c r="B104" s="16"/>
      <c r="C104" s="16"/>
      <c r="D104" s="16"/>
      <c r="E104" s="16"/>
      <c r="F104" s="16"/>
      <c r="G104" s="16"/>
      <c r="H104" s="16"/>
      <c r="I104" s="16"/>
      <c r="J104" s="16"/>
      <c r="K104" s="16"/>
      <c r="L104" s="16"/>
      <c r="M104" s="16"/>
      <c r="N104" s="16"/>
      <c r="O104" s="16"/>
      <c r="P104" s="16"/>
      <c r="Q104" s="16"/>
      <c r="R104" s="16"/>
      <c r="S104" s="16"/>
      <c r="T104" s="16"/>
      <c r="U104" s="16"/>
      <c r="V104" s="16"/>
    </row>
    <row r="105" spans="1:22">
      <c r="A105" s="16"/>
      <c r="B105" s="16"/>
      <c r="C105" s="16"/>
      <c r="D105" s="16"/>
      <c r="E105" s="16"/>
      <c r="F105" s="16"/>
      <c r="G105" s="16"/>
      <c r="H105" s="16"/>
      <c r="I105" s="16"/>
      <c r="J105" s="16"/>
      <c r="K105" s="16"/>
      <c r="L105" s="16"/>
      <c r="M105" s="16"/>
      <c r="N105" s="16"/>
      <c r="O105" s="16"/>
      <c r="P105" s="16"/>
      <c r="Q105" s="16"/>
      <c r="R105" s="16"/>
      <c r="S105" s="16"/>
      <c r="T105" s="16"/>
      <c r="U105" s="16"/>
      <c r="V105" s="16"/>
    </row>
    <row r="106" spans="1:22">
      <c r="A106" s="16"/>
      <c r="B106" s="16"/>
      <c r="C106" s="16"/>
      <c r="D106" s="16"/>
      <c r="E106" s="16"/>
      <c r="F106" s="16"/>
      <c r="G106" s="16"/>
      <c r="H106" s="16"/>
      <c r="I106" s="16"/>
      <c r="J106" s="16"/>
      <c r="K106" s="16"/>
      <c r="L106" s="16"/>
      <c r="M106" s="16"/>
      <c r="N106" s="16"/>
      <c r="O106" s="16"/>
      <c r="P106" s="16"/>
      <c r="Q106" s="16"/>
      <c r="R106" s="16"/>
      <c r="S106" s="16"/>
      <c r="T106" s="16"/>
      <c r="U106" s="16"/>
      <c r="V106" s="16"/>
    </row>
    <row r="107" spans="1:22" ht="12.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row>
    <row r="108" spans="1:22" ht="12.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row>
    <row r="109" spans="1:22" ht="12.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row>
    <row r="110" spans="1:22" ht="12.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row>
    <row r="111" spans="1:22" ht="12.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row>
    <row r="112" spans="1:22" ht="12.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row>
    <row r="113" spans="1:22" ht="12.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row>
    <row r="114" spans="1:22" ht="12.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row>
    <row r="115" spans="1:22" ht="12.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row>
    <row r="116" spans="1:22" ht="12.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row>
    <row r="117" spans="1:22" ht="12.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row>
    <row r="118" spans="1:22">
      <c r="A118" s="16"/>
      <c r="B118" s="16"/>
      <c r="C118" s="16"/>
      <c r="D118" s="16"/>
      <c r="E118" s="16"/>
      <c r="F118" s="16"/>
      <c r="G118" s="16"/>
      <c r="H118" s="16"/>
      <c r="I118" s="16"/>
      <c r="J118" s="16"/>
      <c r="K118" s="16"/>
      <c r="L118" s="16"/>
      <c r="M118" s="16"/>
      <c r="N118" s="16"/>
      <c r="O118" s="16"/>
      <c r="P118" s="16"/>
      <c r="Q118" s="16"/>
      <c r="R118" s="16"/>
      <c r="S118" s="16"/>
      <c r="T118" s="16"/>
      <c r="U118" s="16"/>
      <c r="V118" s="16"/>
    </row>
    <row r="119" spans="1:22">
      <c r="A119" s="16"/>
      <c r="B119" s="16"/>
      <c r="C119" s="16"/>
      <c r="D119" s="16"/>
      <c r="E119" s="16"/>
      <c r="F119" s="16"/>
      <c r="G119" s="16"/>
      <c r="H119" s="16"/>
      <c r="I119" s="16"/>
      <c r="J119" s="16"/>
      <c r="K119" s="16"/>
      <c r="L119" s="16"/>
      <c r="M119" s="16"/>
      <c r="N119" s="16"/>
      <c r="O119" s="16"/>
      <c r="P119" s="16"/>
      <c r="Q119" s="16"/>
      <c r="R119" s="16"/>
      <c r="S119" s="16"/>
      <c r="T119" s="16"/>
      <c r="U119" s="16"/>
      <c r="V119" s="16"/>
    </row>
    <row r="120" spans="1:22">
      <c r="A120" s="16"/>
      <c r="B120" s="16"/>
      <c r="C120" s="16"/>
      <c r="D120" s="16"/>
      <c r="E120" s="16"/>
      <c r="F120" s="16"/>
      <c r="G120" s="16"/>
      <c r="H120" s="16"/>
      <c r="I120" s="16"/>
      <c r="J120" s="16"/>
      <c r="K120" s="16"/>
      <c r="L120" s="16"/>
      <c r="M120" s="16"/>
      <c r="N120" s="16"/>
      <c r="O120" s="16"/>
      <c r="P120" s="16"/>
      <c r="Q120" s="16"/>
      <c r="R120" s="16"/>
      <c r="S120" s="16"/>
      <c r="T120" s="16"/>
      <c r="U120" s="16"/>
      <c r="V120" s="16"/>
    </row>
    <row r="121" spans="1:22">
      <c r="A121" s="16"/>
      <c r="B121" s="16"/>
      <c r="C121" s="16"/>
      <c r="D121" s="16"/>
      <c r="E121" s="16"/>
      <c r="F121" s="16"/>
      <c r="G121" s="16"/>
      <c r="H121" s="16"/>
      <c r="I121" s="16"/>
      <c r="J121" s="16"/>
      <c r="K121" s="16"/>
      <c r="L121" s="16"/>
      <c r="M121" s="16"/>
      <c r="N121" s="16"/>
      <c r="O121" s="16"/>
      <c r="P121" s="16"/>
      <c r="Q121" s="16"/>
      <c r="R121" s="16"/>
      <c r="S121" s="16"/>
      <c r="T121" s="16"/>
      <c r="U121" s="16"/>
      <c r="V121" s="16"/>
    </row>
    <row r="122" spans="1:22">
      <c r="A122" s="16"/>
      <c r="B122" s="16"/>
      <c r="C122" s="16"/>
      <c r="D122" s="16"/>
      <c r="E122" s="16"/>
      <c r="F122" s="16"/>
      <c r="G122" s="16"/>
      <c r="H122" s="16"/>
      <c r="I122" s="16"/>
      <c r="J122" s="16"/>
      <c r="K122" s="16"/>
      <c r="L122" s="16"/>
      <c r="M122" s="16"/>
      <c r="N122" s="16"/>
      <c r="O122" s="16"/>
      <c r="P122" s="16"/>
      <c r="Q122" s="16"/>
      <c r="R122" s="16"/>
      <c r="S122" s="16"/>
      <c r="T122" s="16"/>
      <c r="U122" s="16"/>
      <c r="V122" s="16"/>
    </row>
    <row r="123" spans="1:22">
      <c r="A123" s="16"/>
      <c r="B123" s="16"/>
      <c r="C123" s="16"/>
      <c r="D123" s="16"/>
      <c r="E123" s="16"/>
      <c r="F123" s="16"/>
      <c r="G123" s="16"/>
      <c r="H123" s="16"/>
      <c r="I123" s="16"/>
      <c r="J123" s="16"/>
      <c r="K123" s="16"/>
      <c r="L123" s="16"/>
      <c r="M123" s="16"/>
      <c r="N123" s="16"/>
      <c r="O123" s="16"/>
      <c r="P123" s="16"/>
      <c r="Q123" s="16"/>
      <c r="R123" s="16"/>
      <c r="S123" s="16"/>
      <c r="T123" s="16"/>
      <c r="U123" s="16"/>
      <c r="V123" s="16"/>
    </row>
    <row r="124" spans="1:22">
      <c r="A124" s="16"/>
      <c r="B124" s="16"/>
      <c r="C124" s="16"/>
      <c r="D124" s="16"/>
      <c r="E124" s="16"/>
      <c r="F124" s="16"/>
      <c r="G124" s="16"/>
      <c r="H124" s="16"/>
      <c r="I124" s="16"/>
      <c r="J124" s="16"/>
      <c r="K124" s="16"/>
      <c r="L124" s="16"/>
      <c r="M124" s="16"/>
      <c r="N124" s="16"/>
      <c r="O124" s="16"/>
      <c r="P124" s="16"/>
      <c r="Q124" s="16"/>
      <c r="R124" s="16"/>
      <c r="S124" s="16"/>
      <c r="T124" s="16"/>
      <c r="U124" s="16"/>
      <c r="V124" s="16"/>
    </row>
    <row r="125" spans="1:22">
      <c r="A125" s="16"/>
      <c r="B125" s="16"/>
      <c r="C125" s="16"/>
      <c r="D125" s="16"/>
      <c r="E125" s="16"/>
      <c r="F125" s="16"/>
      <c r="G125" s="16"/>
      <c r="H125" s="16"/>
      <c r="I125" s="16"/>
      <c r="J125" s="16"/>
      <c r="K125" s="16"/>
      <c r="L125" s="16"/>
      <c r="M125" s="16"/>
      <c r="N125" s="16"/>
      <c r="O125" s="16"/>
      <c r="P125" s="16"/>
      <c r="Q125" s="16"/>
      <c r="R125" s="16"/>
      <c r="S125" s="16"/>
      <c r="T125" s="16"/>
      <c r="U125" s="16"/>
      <c r="V125" s="16"/>
    </row>
    <row r="126" spans="1:22">
      <c r="A126" s="16"/>
      <c r="B126" s="16"/>
      <c r="C126" s="16"/>
      <c r="D126" s="16"/>
      <c r="E126" s="16"/>
      <c r="F126" s="16"/>
      <c r="G126" s="16"/>
      <c r="H126" s="16"/>
      <c r="I126" s="16"/>
      <c r="J126" s="16"/>
      <c r="K126" s="16"/>
      <c r="L126" s="16"/>
      <c r="M126" s="16"/>
      <c r="N126" s="16"/>
      <c r="O126" s="16"/>
      <c r="P126" s="16"/>
      <c r="Q126" s="16"/>
      <c r="R126" s="16"/>
      <c r="S126" s="16"/>
      <c r="T126" s="16"/>
      <c r="U126" s="16"/>
      <c r="V126" s="16"/>
    </row>
    <row r="127" spans="1:22">
      <c r="A127" s="16"/>
      <c r="B127" s="16"/>
      <c r="C127" s="16"/>
      <c r="D127" s="16"/>
      <c r="E127" s="16"/>
      <c r="F127" s="16"/>
      <c r="G127" s="16"/>
      <c r="H127" s="16"/>
      <c r="I127" s="16"/>
      <c r="J127" s="16"/>
      <c r="K127" s="16"/>
      <c r="L127" s="16"/>
      <c r="M127" s="16"/>
      <c r="N127" s="16"/>
      <c r="O127" s="16"/>
      <c r="P127" s="16"/>
      <c r="Q127" s="16"/>
      <c r="R127" s="16"/>
      <c r="S127" s="16"/>
      <c r="T127" s="16"/>
      <c r="U127" s="16"/>
      <c r="V127" s="16"/>
    </row>
    <row r="128" spans="1:22">
      <c r="A128" s="16"/>
      <c r="B128" s="16"/>
      <c r="C128" s="16"/>
      <c r="D128" s="16"/>
      <c r="E128" s="16"/>
      <c r="F128" s="16"/>
      <c r="G128" s="16"/>
      <c r="H128" s="16"/>
      <c r="I128" s="16"/>
      <c r="J128" s="16"/>
      <c r="K128" s="16"/>
      <c r="L128" s="16"/>
      <c r="M128" s="16"/>
      <c r="N128" s="16"/>
      <c r="O128" s="16"/>
      <c r="P128" s="16"/>
      <c r="Q128" s="16"/>
      <c r="R128" s="16"/>
      <c r="S128" s="16"/>
      <c r="T128" s="16"/>
      <c r="U128" s="16"/>
      <c r="V128" s="16"/>
    </row>
    <row r="129" spans="1:22">
      <c r="A129" s="16"/>
      <c r="B129" s="16"/>
      <c r="C129" s="16"/>
      <c r="D129" s="16"/>
      <c r="E129" s="16"/>
      <c r="F129" s="16"/>
      <c r="G129" s="16"/>
      <c r="H129" s="16"/>
      <c r="I129" s="16"/>
      <c r="J129" s="16"/>
      <c r="K129" s="16"/>
      <c r="L129" s="16"/>
      <c r="M129" s="16"/>
      <c r="N129" s="16"/>
      <c r="O129" s="16"/>
      <c r="P129" s="16"/>
      <c r="Q129" s="16"/>
      <c r="R129" s="16"/>
      <c r="S129" s="16"/>
      <c r="T129" s="16"/>
      <c r="U129" s="16"/>
      <c r="V129" s="16"/>
    </row>
    <row r="130" spans="1:22">
      <c r="A130" s="16"/>
      <c r="B130" s="16"/>
      <c r="C130" s="16"/>
      <c r="D130" s="16"/>
      <c r="E130" s="16"/>
      <c r="F130" s="16"/>
      <c r="G130" s="16"/>
      <c r="H130" s="16"/>
      <c r="I130" s="16"/>
      <c r="J130" s="16"/>
      <c r="K130" s="16"/>
      <c r="L130" s="16"/>
      <c r="M130" s="16"/>
      <c r="N130" s="16"/>
      <c r="O130" s="16"/>
      <c r="P130" s="16"/>
      <c r="Q130" s="16"/>
      <c r="R130" s="16"/>
      <c r="S130" s="16"/>
      <c r="T130" s="16"/>
      <c r="U130" s="16"/>
      <c r="V130" s="16"/>
    </row>
    <row r="131" spans="1:22">
      <c r="A131" s="16"/>
      <c r="B131" s="16"/>
      <c r="C131" s="16"/>
      <c r="D131" s="16"/>
      <c r="E131" s="16"/>
      <c r="F131" s="16"/>
      <c r="G131" s="16"/>
      <c r="H131" s="16"/>
      <c r="I131" s="16"/>
      <c r="J131" s="16"/>
      <c r="K131" s="16"/>
      <c r="L131" s="16"/>
      <c r="M131" s="16"/>
      <c r="N131" s="16"/>
      <c r="O131" s="16"/>
      <c r="P131" s="16"/>
      <c r="Q131" s="16"/>
      <c r="R131" s="16"/>
      <c r="S131" s="16"/>
      <c r="T131" s="16"/>
      <c r="U131" s="16"/>
      <c r="V131" s="16"/>
    </row>
    <row r="132" spans="1:22">
      <c r="A132" s="16"/>
      <c r="B132" s="16"/>
      <c r="C132" s="16"/>
      <c r="D132" s="16"/>
      <c r="E132" s="16"/>
      <c r="F132" s="16"/>
      <c r="G132" s="16"/>
      <c r="H132" s="16"/>
      <c r="I132" s="16"/>
      <c r="J132" s="16"/>
      <c r="K132" s="16"/>
      <c r="L132" s="16"/>
      <c r="M132" s="16"/>
      <c r="N132" s="16"/>
      <c r="O132" s="16"/>
      <c r="P132" s="16"/>
      <c r="Q132" s="16"/>
      <c r="R132" s="16"/>
      <c r="S132" s="16"/>
      <c r="T132" s="16"/>
      <c r="U132" s="16"/>
      <c r="V132" s="16"/>
    </row>
    <row r="133" spans="1:22">
      <c r="A133" s="16"/>
      <c r="B133" s="16"/>
      <c r="C133" s="16"/>
      <c r="D133" s="16"/>
      <c r="E133" s="16"/>
      <c r="F133" s="16"/>
      <c r="G133" s="16"/>
      <c r="H133" s="16"/>
      <c r="I133" s="16"/>
      <c r="J133" s="16"/>
      <c r="K133" s="16"/>
      <c r="L133" s="16"/>
      <c r="M133" s="16"/>
      <c r="N133" s="16"/>
      <c r="O133" s="16"/>
      <c r="P133" s="16"/>
      <c r="Q133" s="16"/>
      <c r="R133" s="16"/>
      <c r="S133" s="16"/>
      <c r="T133" s="16"/>
      <c r="U133" s="16"/>
      <c r="V133" s="16"/>
    </row>
    <row r="134" spans="1:22">
      <c r="A134" s="16"/>
      <c r="B134" s="16"/>
      <c r="C134" s="16"/>
      <c r="D134" s="16"/>
      <c r="E134" s="16"/>
      <c r="F134" s="16"/>
      <c r="G134" s="16"/>
      <c r="H134" s="16"/>
      <c r="I134" s="16"/>
      <c r="J134" s="16"/>
      <c r="K134" s="16"/>
      <c r="L134" s="16"/>
      <c r="M134" s="16"/>
      <c r="N134" s="16"/>
      <c r="O134" s="16"/>
      <c r="P134" s="16"/>
      <c r="Q134" s="16"/>
      <c r="R134" s="16"/>
      <c r="S134" s="16"/>
      <c r="T134" s="16"/>
      <c r="U134" s="16"/>
      <c r="V134" s="16"/>
    </row>
    <row r="135" spans="1:22">
      <c r="A135" s="16"/>
      <c r="B135" s="16"/>
      <c r="C135" s="16"/>
      <c r="D135" s="16"/>
      <c r="E135" s="16"/>
      <c r="F135" s="16"/>
      <c r="G135" s="16"/>
      <c r="H135" s="16"/>
      <c r="I135" s="16"/>
      <c r="J135" s="16"/>
      <c r="K135" s="16"/>
      <c r="L135" s="16"/>
      <c r="M135" s="16"/>
      <c r="N135" s="16"/>
      <c r="O135" s="16"/>
      <c r="P135" s="16"/>
      <c r="Q135" s="16"/>
      <c r="R135" s="16"/>
      <c r="S135" s="16"/>
      <c r="T135" s="16"/>
      <c r="U135" s="16"/>
      <c r="V135" s="16"/>
    </row>
    <row r="136" spans="1:22">
      <c r="A136" s="16"/>
      <c r="B136" s="16"/>
      <c r="C136" s="16"/>
      <c r="D136" s="16"/>
      <c r="E136" s="16"/>
      <c r="F136" s="16"/>
      <c r="G136" s="16"/>
      <c r="H136" s="16"/>
      <c r="I136" s="16"/>
      <c r="J136" s="16"/>
      <c r="K136" s="16"/>
      <c r="L136" s="16"/>
      <c r="M136" s="16"/>
      <c r="N136" s="16"/>
      <c r="O136" s="16"/>
      <c r="P136" s="16"/>
      <c r="Q136" s="16"/>
      <c r="R136" s="16"/>
      <c r="S136" s="16"/>
      <c r="T136" s="16"/>
      <c r="U136" s="16"/>
      <c r="V136" s="16"/>
    </row>
    <row r="137" spans="1:22">
      <c r="A137" s="16"/>
      <c r="B137" s="16"/>
      <c r="C137" s="16"/>
      <c r="D137" s="16"/>
      <c r="E137" s="16"/>
      <c r="F137" s="16"/>
      <c r="G137" s="16"/>
      <c r="H137" s="16"/>
      <c r="I137" s="16"/>
      <c r="J137" s="16"/>
      <c r="K137" s="16"/>
      <c r="L137" s="16"/>
      <c r="M137" s="16"/>
      <c r="N137" s="16"/>
      <c r="O137" s="16"/>
      <c r="P137" s="16"/>
      <c r="Q137" s="16"/>
      <c r="R137" s="16"/>
      <c r="S137" s="16"/>
      <c r="T137" s="16"/>
      <c r="U137" s="16"/>
      <c r="V137" s="16"/>
    </row>
    <row r="138" spans="1:22" ht="12.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row>
    <row r="139" spans="1:22" ht="12.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row>
    <row r="140" spans="1:22" ht="12.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row>
    <row r="141" spans="1:22">
      <c r="A141" s="16"/>
      <c r="B141" s="16"/>
      <c r="C141" s="16"/>
      <c r="D141" s="16"/>
      <c r="E141" s="16"/>
      <c r="F141" s="16"/>
      <c r="G141" s="16"/>
      <c r="H141" s="16"/>
      <c r="I141" s="16"/>
      <c r="J141" s="16"/>
      <c r="K141" s="16"/>
      <c r="L141" s="16"/>
      <c r="M141" s="16"/>
      <c r="N141" s="16"/>
      <c r="O141" s="16"/>
      <c r="P141" s="16"/>
      <c r="Q141" s="16"/>
      <c r="R141" s="16"/>
      <c r="S141" s="16"/>
      <c r="T141" s="16"/>
      <c r="U141" s="16"/>
      <c r="V141" s="16"/>
    </row>
    <row r="142" spans="1:22">
      <c r="A142" s="16"/>
      <c r="B142" s="16"/>
      <c r="C142" s="16"/>
      <c r="D142" s="16"/>
      <c r="E142" s="16"/>
      <c r="F142" s="16"/>
      <c r="G142" s="16"/>
      <c r="H142" s="16"/>
      <c r="I142" s="16"/>
      <c r="J142" s="16"/>
      <c r="K142" s="16"/>
      <c r="L142" s="16"/>
      <c r="M142" s="16"/>
      <c r="N142" s="16"/>
      <c r="O142" s="16"/>
      <c r="P142" s="16"/>
      <c r="Q142" s="16"/>
      <c r="R142" s="16"/>
      <c r="S142" s="16"/>
      <c r="T142" s="16"/>
      <c r="U142" s="16"/>
      <c r="V142" s="16"/>
    </row>
    <row r="143" spans="1:22">
      <c r="A143" s="16"/>
      <c r="B143" s="16"/>
      <c r="C143" s="16"/>
      <c r="D143" s="16"/>
      <c r="E143" s="16"/>
      <c r="F143" s="16"/>
      <c r="G143" s="16"/>
      <c r="H143" s="16"/>
      <c r="I143" s="16"/>
      <c r="J143" s="16"/>
      <c r="K143" s="16"/>
      <c r="L143" s="16"/>
      <c r="M143" s="16"/>
      <c r="N143" s="16"/>
      <c r="O143" s="16"/>
      <c r="P143" s="16"/>
      <c r="Q143" s="16"/>
      <c r="R143" s="16"/>
      <c r="S143" s="16"/>
      <c r="T143" s="16"/>
      <c r="U143" s="16"/>
      <c r="V143" s="16"/>
    </row>
    <row r="144" spans="1:22">
      <c r="A144" s="16"/>
      <c r="B144" s="16"/>
      <c r="C144" s="16"/>
      <c r="D144" s="16"/>
      <c r="E144" s="16"/>
      <c r="F144" s="16"/>
      <c r="G144" s="16"/>
      <c r="H144" s="16"/>
      <c r="I144" s="16"/>
      <c r="J144" s="16"/>
      <c r="K144" s="16"/>
      <c r="L144" s="16"/>
      <c r="M144" s="16"/>
      <c r="N144" s="16"/>
      <c r="O144" s="16"/>
      <c r="P144" s="16"/>
      <c r="Q144" s="16"/>
      <c r="R144" s="16"/>
      <c r="S144" s="16"/>
      <c r="T144" s="16"/>
      <c r="U144" s="16"/>
      <c r="V144" s="16"/>
    </row>
    <row r="145" spans="1:22">
      <c r="A145" s="16"/>
      <c r="B145" s="16"/>
      <c r="C145" s="16"/>
      <c r="D145" s="16"/>
      <c r="E145" s="16"/>
      <c r="F145" s="16"/>
      <c r="G145" s="16"/>
      <c r="H145" s="16"/>
      <c r="I145" s="16"/>
      <c r="J145" s="16"/>
      <c r="K145" s="16"/>
      <c r="L145" s="16"/>
      <c r="M145" s="16"/>
      <c r="N145" s="16"/>
      <c r="O145" s="16"/>
      <c r="P145" s="16"/>
      <c r="Q145" s="16"/>
      <c r="R145" s="16"/>
      <c r="S145" s="16"/>
      <c r="T145" s="16"/>
      <c r="U145" s="16"/>
      <c r="V145" s="16"/>
    </row>
    <row r="146" spans="1:22">
      <c r="A146" s="16"/>
      <c r="B146" s="16"/>
      <c r="C146" s="16"/>
      <c r="D146" s="16"/>
      <c r="E146" s="16"/>
      <c r="F146" s="16"/>
      <c r="G146" s="16"/>
      <c r="H146" s="16"/>
      <c r="I146" s="16"/>
      <c r="J146" s="16"/>
      <c r="K146" s="16"/>
      <c r="L146" s="16"/>
      <c r="M146" s="16"/>
      <c r="N146" s="16"/>
      <c r="O146" s="16"/>
      <c r="P146" s="16"/>
      <c r="Q146" s="16"/>
      <c r="R146" s="16"/>
      <c r="S146" s="16"/>
      <c r="T146" s="16"/>
      <c r="U146" s="16"/>
      <c r="V146" s="16"/>
    </row>
    <row r="147" spans="1:22">
      <c r="A147" s="16"/>
      <c r="B147" s="16"/>
      <c r="C147" s="16"/>
      <c r="D147" s="16"/>
      <c r="E147" s="16"/>
      <c r="F147" s="16"/>
      <c r="G147" s="16"/>
      <c r="H147" s="16"/>
      <c r="I147" s="16"/>
      <c r="J147" s="16"/>
      <c r="K147" s="16"/>
      <c r="L147" s="16"/>
      <c r="M147" s="16"/>
      <c r="N147" s="16"/>
      <c r="O147" s="16"/>
      <c r="P147" s="16"/>
      <c r="Q147" s="16"/>
      <c r="R147" s="16"/>
      <c r="S147" s="16"/>
      <c r="T147" s="16"/>
      <c r="U147" s="16"/>
      <c r="V147" s="16"/>
    </row>
    <row r="148" spans="1:22">
      <c r="A148" s="16"/>
      <c r="B148" s="16"/>
      <c r="C148" s="16"/>
      <c r="D148" s="16"/>
      <c r="E148" s="16"/>
      <c r="F148" s="16"/>
      <c r="G148" s="16"/>
      <c r="H148" s="16"/>
      <c r="I148" s="16"/>
      <c r="J148" s="16"/>
      <c r="K148" s="16"/>
      <c r="L148" s="16"/>
      <c r="M148" s="16"/>
      <c r="N148" s="16"/>
      <c r="O148" s="16"/>
      <c r="P148" s="16"/>
      <c r="Q148" s="16"/>
      <c r="R148" s="16"/>
      <c r="S148" s="16"/>
      <c r="T148" s="16"/>
      <c r="U148" s="16"/>
      <c r="V148" s="16"/>
    </row>
    <row r="149" spans="1:22">
      <c r="A149" s="16"/>
      <c r="B149" s="16"/>
      <c r="C149" s="16"/>
      <c r="D149" s="16"/>
      <c r="E149" s="16"/>
      <c r="F149" s="16"/>
      <c r="G149" s="16"/>
      <c r="H149" s="16"/>
      <c r="I149" s="16"/>
      <c r="J149" s="16"/>
      <c r="K149" s="16"/>
      <c r="L149" s="16"/>
      <c r="M149" s="16"/>
      <c r="N149" s="16"/>
      <c r="O149" s="16"/>
      <c r="P149" s="16"/>
      <c r="Q149" s="16"/>
      <c r="R149" s="16"/>
      <c r="S149" s="16"/>
      <c r="T149" s="16"/>
      <c r="U149" s="16"/>
      <c r="V149" s="16"/>
    </row>
    <row r="150" spans="1:22">
      <c r="A150" s="16"/>
      <c r="B150" s="16"/>
      <c r="C150" s="16"/>
      <c r="D150" s="16"/>
      <c r="E150" s="16"/>
      <c r="F150" s="16"/>
      <c r="G150" s="16"/>
      <c r="H150" s="16"/>
      <c r="I150" s="16"/>
      <c r="J150" s="16"/>
      <c r="K150" s="16"/>
      <c r="L150" s="16"/>
      <c r="M150" s="16"/>
      <c r="N150" s="16"/>
      <c r="O150" s="16"/>
      <c r="P150" s="16"/>
      <c r="Q150" s="16"/>
      <c r="R150" s="16"/>
      <c r="S150" s="16"/>
      <c r="T150" s="16"/>
      <c r="U150" s="16"/>
      <c r="V150" s="16"/>
    </row>
    <row r="151" spans="1:22">
      <c r="A151" s="16"/>
      <c r="B151" s="16"/>
      <c r="C151" s="16"/>
      <c r="D151" s="16"/>
      <c r="E151" s="16"/>
      <c r="F151" s="16"/>
      <c r="G151" s="16"/>
      <c r="H151" s="16"/>
      <c r="I151" s="16"/>
      <c r="J151" s="16"/>
      <c r="K151" s="16"/>
      <c r="L151" s="16"/>
      <c r="M151" s="16"/>
      <c r="N151" s="16"/>
      <c r="O151" s="16"/>
      <c r="P151" s="16"/>
      <c r="Q151" s="16"/>
      <c r="R151" s="16"/>
      <c r="S151" s="16"/>
      <c r="T151" s="16"/>
      <c r="U151" s="16"/>
      <c r="V151" s="16"/>
    </row>
  </sheetData>
  <mergeCells count="8">
    <mergeCell ref="B36:J37"/>
    <mergeCell ref="B29:G30"/>
    <mergeCell ref="A8:K8"/>
    <mergeCell ref="B11:H11"/>
    <mergeCell ref="A3:K3"/>
    <mergeCell ref="A4:K4"/>
    <mergeCell ref="A5:K5"/>
    <mergeCell ref="A6:K6"/>
  </mergeCells>
  <phoneticPr fontId="0" type="noConversion"/>
  <pageMargins left="0.26" right="1.28" top="1" bottom="1" header="0.75" footer="0.5"/>
  <pageSetup scale="83" orientation="landscape" r:id="rId1"/>
  <headerFooter alignWithMargins="0">
    <oddHeader>&amp;R&amp;"Arial,Bold"Formula Rate 
&amp;A
Page &amp;P of &amp;N</oddHeader>
  </headerFooter>
  <rowBreaks count="1" manualBreakCount="1">
    <brk id="102"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S76"/>
  <sheetViews>
    <sheetView tabSelected="1" topLeftCell="A41" zoomScale="75" workbookViewId="0">
      <selection activeCell="B7" sqref="B7"/>
    </sheetView>
  </sheetViews>
  <sheetFormatPr defaultRowHeight="15"/>
  <cols>
    <col min="1" max="1" width="10.42578125" style="33" customWidth="1"/>
    <col min="2" max="2" width="15.140625" style="8" customWidth="1"/>
    <col min="3" max="3" width="57.7109375" style="5" customWidth="1"/>
    <col min="4" max="4" width="15.7109375" style="5" customWidth="1"/>
    <col min="5" max="5" width="20.7109375" style="5" customWidth="1"/>
    <col min="6" max="6" width="17.28515625" style="5" customWidth="1"/>
    <col min="7" max="7" width="41.85546875" style="5" customWidth="1"/>
    <col min="8" max="8" width="13.85546875" style="5" customWidth="1"/>
    <col min="9" max="9" width="9.140625" style="5"/>
    <col min="10" max="10" width="12.42578125" style="5" bestFit="1" customWidth="1"/>
    <col min="11" max="11" width="13.28515625" style="5" customWidth="1"/>
    <col min="12" max="16384" width="9.140625" style="5"/>
  </cols>
  <sheetData>
    <row r="1" spans="1:11" ht="15.75">
      <c r="A1" s="744" t="s">
        <v>416</v>
      </c>
    </row>
    <row r="2" spans="1:11" ht="15.75">
      <c r="A2" s="744" t="s">
        <v>416</v>
      </c>
    </row>
    <row r="3" spans="1:11">
      <c r="A3" s="1146" t="str">
        <f>TCOS!$F$5</f>
        <v>AEPTCo subsidiaries in PJM</v>
      </c>
      <c r="B3" s="1146" t="str">
        <f>TCOS!$F$5</f>
        <v>AEPTCo subsidiaries in PJM</v>
      </c>
      <c r="C3" s="1146" t="str">
        <f>TCOS!$F$5</f>
        <v>AEPTCo subsidiaries in PJM</v>
      </c>
      <c r="D3" s="1146" t="str">
        <f>TCOS!$F$5</f>
        <v>AEPTCo subsidiaries in PJM</v>
      </c>
      <c r="E3" s="1146" t="str">
        <f>TCOS!$F$5</f>
        <v>AEPTCo subsidiaries in PJM</v>
      </c>
      <c r="F3" s="1146" t="str">
        <f>TCOS!$F$5</f>
        <v>AEPTCo subsidiaries in PJM</v>
      </c>
      <c r="G3" s="1146" t="str">
        <f>TCOS!$F$5</f>
        <v>AEPTCo subsidiaries in PJM</v>
      </c>
      <c r="H3" s="17"/>
    </row>
    <row r="4" spans="1:11" ht="12.75" customHeight="1">
      <c r="A4" s="1147" t="str">
        <f>"Cost of Service Formula Rate Using Actual/Projected FF1 Balances"</f>
        <v>Cost of Service Formula Rate Using Actual/Projected FF1 Balances</v>
      </c>
      <c r="B4" s="1147"/>
      <c r="C4" s="1147"/>
      <c r="D4" s="1147"/>
      <c r="E4" s="1147"/>
      <c r="F4" s="1147"/>
      <c r="G4" s="1147"/>
      <c r="H4" s="44"/>
      <c r="I4" s="44"/>
      <c r="J4" s="44"/>
      <c r="K4" s="44"/>
    </row>
    <row r="5" spans="1:11" ht="12.75" customHeight="1">
      <c r="A5" s="1147" t="s">
        <v>286</v>
      </c>
      <c r="B5" s="1147"/>
      <c r="C5" s="1147"/>
      <c r="D5" s="1147"/>
      <c r="E5" s="1147"/>
      <c r="F5" s="1147"/>
      <c r="G5" s="1147"/>
    </row>
    <row r="6" spans="1:11" ht="12.75" customHeight="1">
      <c r="A6" s="1154" t="str">
        <f>TCOS!F9</f>
        <v>AEP Kentucky Transmission Company</v>
      </c>
      <c r="B6" s="1154"/>
      <c r="C6" s="1154"/>
      <c r="D6" s="1154"/>
      <c r="E6" s="1154"/>
      <c r="F6" s="1154"/>
      <c r="G6" s="1154"/>
    </row>
    <row r="7" spans="1:11" ht="12.75" customHeight="1">
      <c r="A7" s="1146"/>
      <c r="B7" s="1146"/>
      <c r="C7" s="1146"/>
      <c r="D7" s="1146"/>
      <c r="E7" s="1146"/>
      <c r="F7" s="1146"/>
      <c r="G7" s="21"/>
    </row>
    <row r="8" spans="1:11" ht="18">
      <c r="A8" s="1179"/>
      <c r="B8" s="1179"/>
      <c r="C8" s="1179"/>
      <c r="D8" s="1179"/>
      <c r="E8" s="1179"/>
      <c r="F8" s="1179"/>
      <c r="G8" s="1179"/>
    </row>
    <row r="9" spans="1:11" ht="18">
      <c r="A9" s="67"/>
      <c r="B9" s="67"/>
      <c r="C9" s="67"/>
      <c r="D9" s="67"/>
      <c r="E9" s="67"/>
      <c r="F9" s="67"/>
      <c r="G9" s="67"/>
    </row>
    <row r="10" spans="1:11" ht="15.75">
      <c r="B10" s="15" t="s">
        <v>462</v>
      </c>
      <c r="C10" s="15" t="s">
        <v>463</v>
      </c>
      <c r="D10" s="15" t="s">
        <v>464</v>
      </c>
      <c r="E10" s="15" t="s">
        <v>465</v>
      </c>
      <c r="F10" s="15" t="s">
        <v>385</v>
      </c>
      <c r="G10" s="15" t="s">
        <v>386</v>
      </c>
    </row>
    <row r="11" spans="1:11" ht="15.75">
      <c r="B11" s="25"/>
      <c r="C11" s="21"/>
      <c r="D11" s="77"/>
      <c r="E11" s="78"/>
      <c r="F11" s="79" t="s">
        <v>388</v>
      </c>
      <c r="G11" s="15"/>
    </row>
    <row r="12" spans="1:11" ht="15.75">
      <c r="A12" s="28" t="s">
        <v>469</v>
      </c>
      <c r="B12" s="25"/>
      <c r="C12" s="34"/>
      <c r="D12" s="28">
        <f>+TCOS!L4</f>
        <v>2025</v>
      </c>
      <c r="E12" s="79" t="s">
        <v>388</v>
      </c>
      <c r="F12" s="28" t="s">
        <v>417</v>
      </c>
      <c r="G12" s="15"/>
    </row>
    <row r="13" spans="1:11" ht="15.75">
      <c r="A13" s="28" t="s">
        <v>407</v>
      </c>
      <c r="B13" s="28" t="s">
        <v>370</v>
      </c>
      <c r="C13" s="28" t="s">
        <v>467</v>
      </c>
      <c r="D13" s="28" t="s">
        <v>371</v>
      </c>
      <c r="E13" s="28" t="s">
        <v>390</v>
      </c>
      <c r="F13" s="28" t="s">
        <v>372</v>
      </c>
      <c r="G13" s="28" t="s">
        <v>373</v>
      </c>
    </row>
    <row r="14" spans="1:11" ht="15.75">
      <c r="A14" s="27"/>
      <c r="B14" s="28"/>
      <c r="C14" s="28"/>
      <c r="D14" s="28"/>
      <c r="E14" s="28"/>
      <c r="F14" s="28"/>
      <c r="G14" s="28"/>
    </row>
    <row r="15" spans="1:11" ht="15.75">
      <c r="A15" s="27"/>
      <c r="B15" s="28"/>
      <c r="C15" s="28"/>
      <c r="D15" s="28"/>
      <c r="E15" s="28"/>
      <c r="F15" s="28"/>
      <c r="G15" s="28"/>
    </row>
    <row r="16" spans="1:11" ht="15.75">
      <c r="A16" s="27"/>
      <c r="B16" s="28"/>
      <c r="D16" s="28"/>
      <c r="E16" s="28"/>
      <c r="F16" s="28"/>
      <c r="G16" s="28"/>
    </row>
    <row r="17" spans="1:7" ht="15.75">
      <c r="A17" s="27"/>
      <c r="B17" s="28"/>
      <c r="C17" s="28" t="s">
        <v>292</v>
      </c>
      <c r="D17" s="19"/>
      <c r="E17" s="19"/>
      <c r="F17" s="19"/>
      <c r="G17" s="42"/>
    </row>
    <row r="18" spans="1:7">
      <c r="A18" s="27">
        <v>1</v>
      </c>
      <c r="B18" s="707"/>
      <c r="C18" s="400"/>
      <c r="D18" s="399"/>
      <c r="E18" s="40"/>
      <c r="F18" s="40"/>
      <c r="G18" s="18"/>
    </row>
    <row r="19" spans="1:7">
      <c r="A19" s="27">
        <f>+A18+1</f>
        <v>2</v>
      </c>
      <c r="B19" s="708"/>
      <c r="C19" s="709"/>
      <c r="D19" s="399"/>
      <c r="E19" s="40"/>
      <c r="F19" s="40"/>
      <c r="G19" s="18"/>
    </row>
    <row r="20" spans="1:7" ht="15.75">
      <c r="A20" s="27">
        <f>+A19+1</f>
        <v>3</v>
      </c>
      <c r="B20" s="710"/>
      <c r="C20" s="400"/>
      <c r="D20" s="399"/>
      <c r="E20" s="40"/>
      <c r="F20" s="40"/>
      <c r="G20" s="18"/>
    </row>
    <row r="21" spans="1:7" ht="15.75">
      <c r="A21" s="27">
        <f>+A20+1</f>
        <v>4</v>
      </c>
      <c r="B21" s="28"/>
      <c r="C21" s="91" t="s">
        <v>420</v>
      </c>
      <c r="D21" s="35">
        <f>SUM(D18:D20)</f>
        <v>0</v>
      </c>
      <c r="E21" s="40"/>
      <c r="F21" s="40"/>
      <c r="G21" s="28"/>
    </row>
    <row r="22" spans="1:7" ht="15.75">
      <c r="A22" s="27"/>
      <c r="B22" s="28"/>
      <c r="C22" s="91"/>
      <c r="D22" s="97"/>
      <c r="E22" s="19"/>
      <c r="F22" s="19"/>
      <c r="G22" s="28"/>
    </row>
    <row r="23" spans="1:7" ht="15.75">
      <c r="A23" s="7"/>
      <c r="B23" s="28"/>
      <c r="C23" s="28" t="s">
        <v>199</v>
      </c>
      <c r="D23" s="103"/>
      <c r="E23" s="19"/>
      <c r="F23" s="19"/>
      <c r="G23" s="28"/>
    </row>
    <row r="24" spans="1:7" ht="15.75">
      <c r="A24" s="27">
        <f>+A21+1</f>
        <v>5</v>
      </c>
      <c r="B24" s="7"/>
      <c r="C24" s="109"/>
      <c r="D24" s="916"/>
      <c r="E24" s="19"/>
      <c r="F24" s="19"/>
      <c r="G24" s="28"/>
    </row>
    <row r="25" spans="1:7" ht="15.75">
      <c r="A25" s="110">
        <f>+A24+1</f>
        <v>6</v>
      </c>
      <c r="B25" s="7" t="s">
        <v>185</v>
      </c>
      <c r="C25" s="7" t="s">
        <v>182</v>
      </c>
      <c r="D25" s="399">
        <v>0</v>
      </c>
      <c r="E25" s="19"/>
      <c r="F25" s="19"/>
      <c r="G25" s="28"/>
    </row>
    <row r="26" spans="1:7" ht="15.75">
      <c r="A26" s="27">
        <f>+A25+1</f>
        <v>7</v>
      </c>
      <c r="B26" s="109" t="s">
        <v>186</v>
      </c>
      <c r="C26" s="109" t="s">
        <v>183</v>
      </c>
      <c r="D26" s="399">
        <v>129597.48</v>
      </c>
      <c r="E26" s="19"/>
      <c r="F26" s="19"/>
      <c r="G26" s="28"/>
    </row>
    <row r="27" spans="1:7" ht="15.75">
      <c r="A27" s="110">
        <f t="shared" ref="A27:A32" si="0">+A26+1</f>
        <v>8</v>
      </c>
      <c r="B27" s="7" t="s">
        <v>187</v>
      </c>
      <c r="C27" s="7" t="s">
        <v>184</v>
      </c>
      <c r="D27" s="399">
        <v>0</v>
      </c>
      <c r="E27" s="19"/>
      <c r="F27" s="19"/>
      <c r="G27" s="28"/>
    </row>
    <row r="28" spans="1:7" ht="15.75">
      <c r="A28" s="27">
        <f t="shared" si="0"/>
        <v>9</v>
      </c>
      <c r="B28" s="109" t="s">
        <v>188</v>
      </c>
      <c r="C28" s="109" t="s">
        <v>192</v>
      </c>
      <c r="D28" s="399">
        <v>0</v>
      </c>
      <c r="E28" s="19"/>
      <c r="F28" s="19"/>
      <c r="G28" s="28"/>
    </row>
    <row r="29" spans="1:7" ht="15.75">
      <c r="A29" s="110">
        <f t="shared" si="0"/>
        <v>10</v>
      </c>
      <c r="B29" s="7" t="s">
        <v>189</v>
      </c>
      <c r="C29" s="7" t="s">
        <v>195</v>
      </c>
      <c r="D29" s="399">
        <v>8821.26</v>
      </c>
      <c r="E29" s="19"/>
      <c r="F29" s="19"/>
      <c r="G29" s="28"/>
    </row>
    <row r="30" spans="1:7" ht="15.75">
      <c r="A30" s="27">
        <f t="shared" si="0"/>
        <v>11</v>
      </c>
      <c r="B30" s="109" t="s">
        <v>190</v>
      </c>
      <c r="C30" s="109" t="s">
        <v>196</v>
      </c>
      <c r="D30" s="399">
        <v>0.91</v>
      </c>
      <c r="E30" s="19"/>
      <c r="F30" s="19"/>
      <c r="G30" s="28"/>
    </row>
    <row r="31" spans="1:7" ht="15.75">
      <c r="A31" s="110">
        <f t="shared" si="0"/>
        <v>12</v>
      </c>
      <c r="B31" s="7" t="s">
        <v>191</v>
      </c>
      <c r="C31" s="7" t="s">
        <v>197</v>
      </c>
      <c r="D31" s="399">
        <v>0</v>
      </c>
      <c r="E31" s="19"/>
      <c r="F31" s="19"/>
      <c r="G31" s="28"/>
    </row>
    <row r="32" spans="1:7" ht="15.75">
      <c r="A32" s="27">
        <f t="shared" si="0"/>
        <v>13</v>
      </c>
      <c r="B32" s="109" t="s">
        <v>193</v>
      </c>
      <c r="C32" s="109" t="s">
        <v>198</v>
      </c>
      <c r="D32" s="399">
        <v>0</v>
      </c>
      <c r="E32" s="19"/>
      <c r="F32" s="19"/>
      <c r="G32" s="28"/>
    </row>
    <row r="33" spans="1:19" ht="15.75">
      <c r="A33" s="110">
        <f>+A32+1</f>
        <v>14</v>
      </c>
      <c r="B33" s="7"/>
      <c r="C33" s="15" t="s">
        <v>194</v>
      </c>
      <c r="D33" s="35">
        <f>SUM(D24:D32)</f>
        <v>138419.65</v>
      </c>
      <c r="E33" s="28"/>
      <c r="F33" s="28"/>
      <c r="G33" s="28"/>
    </row>
    <row r="34" spans="1:19" ht="15.75">
      <c r="A34" s="90"/>
      <c r="B34" s="39"/>
      <c r="C34" s="28"/>
      <c r="D34" s="28"/>
      <c r="E34" s="28"/>
      <c r="F34" s="28"/>
      <c r="G34" s="28"/>
    </row>
    <row r="35" spans="1:19" ht="15.75">
      <c r="A35" s="90"/>
      <c r="B35" s="27"/>
      <c r="C35" s="46" t="s">
        <v>504</v>
      </c>
      <c r="D35" s="21"/>
      <c r="E35" s="21"/>
      <c r="F35" s="21"/>
      <c r="G35" s="21"/>
    </row>
    <row r="36" spans="1:19">
      <c r="A36" s="27">
        <f>+A33+1</f>
        <v>15</v>
      </c>
      <c r="B36" s="707" t="s">
        <v>818</v>
      </c>
      <c r="C36" s="400" t="s">
        <v>819</v>
      </c>
      <c r="D36" s="399">
        <v>73.260000000000005</v>
      </c>
      <c r="E36" s="19">
        <f t="shared" ref="E36:E41" si="1">+D36</f>
        <v>73.260000000000005</v>
      </c>
      <c r="F36" s="19">
        <v>0</v>
      </c>
      <c r="G36" s="18"/>
    </row>
    <row r="37" spans="1:19">
      <c r="A37" s="27">
        <f>+A36+1</f>
        <v>16</v>
      </c>
      <c r="B37" s="707" t="s">
        <v>820</v>
      </c>
      <c r="C37" s="400" t="s">
        <v>821</v>
      </c>
      <c r="D37" s="399">
        <v>0</v>
      </c>
      <c r="E37" s="19">
        <f t="shared" si="1"/>
        <v>0</v>
      </c>
      <c r="F37" s="19">
        <v>0</v>
      </c>
      <c r="G37" s="18"/>
    </row>
    <row r="38" spans="1:19">
      <c r="A38" s="27">
        <f>+A37+1</f>
        <v>17</v>
      </c>
      <c r="B38" s="707" t="s">
        <v>822</v>
      </c>
      <c r="C38" s="400" t="s">
        <v>823</v>
      </c>
      <c r="D38" s="399">
        <v>-148.77000000000001</v>
      </c>
      <c r="E38" s="19">
        <f t="shared" si="1"/>
        <v>-148.77000000000001</v>
      </c>
      <c r="F38" s="19">
        <v>0</v>
      </c>
      <c r="G38" s="18"/>
    </row>
    <row r="39" spans="1:19">
      <c r="A39" s="27">
        <f>+A38+1</f>
        <v>18</v>
      </c>
      <c r="B39" s="707" t="s">
        <v>824</v>
      </c>
      <c r="C39" s="400" t="s">
        <v>825</v>
      </c>
      <c r="D39" s="399">
        <v>3457.29</v>
      </c>
      <c r="E39" s="19">
        <v>0</v>
      </c>
      <c r="F39" s="19">
        <f>D39</f>
        <v>3457.29</v>
      </c>
      <c r="G39" s="42"/>
    </row>
    <row r="40" spans="1:19">
      <c r="A40" s="27">
        <f>+A39+1</f>
        <v>19</v>
      </c>
      <c r="B40" s="707"/>
      <c r="C40" s="400"/>
      <c r="D40" s="399"/>
      <c r="E40" s="19">
        <f t="shared" si="1"/>
        <v>0</v>
      </c>
      <c r="F40" s="19">
        <v>0</v>
      </c>
      <c r="G40" s="42"/>
    </row>
    <row r="41" spans="1:19">
      <c r="A41" s="27">
        <f>+A40+1</f>
        <v>20</v>
      </c>
      <c r="B41" s="707"/>
      <c r="C41" s="400"/>
      <c r="D41" s="399"/>
      <c r="E41" s="19">
        <f t="shared" si="1"/>
        <v>0</v>
      </c>
      <c r="F41" s="19">
        <v>0</v>
      </c>
      <c r="G41" s="42"/>
    </row>
    <row r="42" spans="1:19">
      <c r="A42" s="27"/>
      <c r="B42" s="2"/>
      <c r="C42" s="37"/>
      <c r="D42" s="19"/>
      <c r="E42" s="19"/>
      <c r="F42" s="19"/>
      <c r="G42" s="18"/>
    </row>
    <row r="43" spans="1:19" ht="12.75" customHeight="1">
      <c r="A43" s="27"/>
      <c r="B43" s="20" t="s">
        <v>416</v>
      </c>
      <c r="C43" s="37"/>
      <c r="D43" s="22"/>
      <c r="E43" s="23"/>
      <c r="F43" s="24"/>
      <c r="G43" s="21"/>
    </row>
    <row r="44" spans="1:19" ht="15.75" customHeight="1">
      <c r="A44" s="27">
        <f>+A41+1</f>
        <v>21</v>
      </c>
      <c r="B44" s="25"/>
      <c r="C44" s="917" t="s">
        <v>632</v>
      </c>
      <c r="D44" s="35">
        <f>SUM(D36:D42)</f>
        <v>3381.7799999999997</v>
      </c>
      <c r="E44" s="35">
        <f>SUM(E36:E42)</f>
        <v>-75.510000000000005</v>
      </c>
      <c r="F44" s="35">
        <f>SUM(F36:F42)</f>
        <v>3457.29</v>
      </c>
      <c r="G44" s="10"/>
    </row>
    <row r="45" spans="1:19" ht="12.75" customHeight="1">
      <c r="A45" s="27"/>
      <c r="B45" s="25"/>
      <c r="C45" s="26"/>
      <c r="D45" s="38"/>
      <c r="E45" s="12"/>
      <c r="F45" s="12"/>
      <c r="G45" s="21"/>
    </row>
    <row r="46" spans="1:19" ht="15.75">
      <c r="A46" s="27"/>
      <c r="B46" s="27"/>
      <c r="C46" s="46" t="s">
        <v>503</v>
      </c>
      <c r="D46" s="12"/>
      <c r="E46" s="12"/>
      <c r="F46" s="12"/>
      <c r="G46" s="21"/>
    </row>
    <row r="47" spans="1:19">
      <c r="A47" s="27">
        <f>+A44+1</f>
        <v>22</v>
      </c>
      <c r="B47" s="707" t="s">
        <v>826</v>
      </c>
      <c r="C47" s="400" t="s">
        <v>827</v>
      </c>
      <c r="D47" s="401">
        <v>55.910000000000004</v>
      </c>
      <c r="E47" s="19">
        <f>+D47</f>
        <v>55.910000000000004</v>
      </c>
      <c r="F47" s="19">
        <v>0</v>
      </c>
      <c r="G47"/>
      <c r="M47" s="9"/>
      <c r="N47" s="9"/>
      <c r="O47" s="11"/>
      <c r="P47" s="11"/>
      <c r="Q47" s="11"/>
      <c r="R47" s="11"/>
      <c r="S47" s="11"/>
    </row>
    <row r="48" spans="1:19">
      <c r="A48" s="27">
        <f>+A47+1</f>
        <v>23</v>
      </c>
      <c r="B48" s="707" t="s">
        <v>828</v>
      </c>
      <c r="C48" s="400" t="s">
        <v>829</v>
      </c>
      <c r="D48" s="401">
        <v>0</v>
      </c>
      <c r="E48" s="19">
        <f t="shared" ref="E48:E50" si="2">+D48</f>
        <v>0</v>
      </c>
      <c r="F48" s="19">
        <v>0</v>
      </c>
      <c r="G48"/>
      <c r="M48" s="9"/>
      <c r="N48" s="9"/>
      <c r="O48" s="11"/>
      <c r="P48" s="11"/>
      <c r="Q48" s="11"/>
      <c r="R48" s="11"/>
      <c r="S48" s="11"/>
    </row>
    <row r="49" spans="1:19">
      <c r="A49" s="27">
        <f t="shared" ref="A49:A62" si="3">+A48+1</f>
        <v>24</v>
      </c>
      <c r="B49" s="1066" t="s">
        <v>1052</v>
      </c>
      <c r="C49" s="400" t="s">
        <v>1053</v>
      </c>
      <c r="D49" s="401">
        <v>0.26</v>
      </c>
      <c r="E49" s="19">
        <f t="shared" si="2"/>
        <v>0.26</v>
      </c>
      <c r="F49" s="19">
        <v>0</v>
      </c>
      <c r="G49"/>
      <c r="M49" s="9"/>
      <c r="N49" s="9"/>
      <c r="O49" s="11"/>
      <c r="P49" s="11"/>
      <c r="Q49" s="11"/>
      <c r="R49" s="11"/>
      <c r="S49" s="11"/>
    </row>
    <row r="50" spans="1:19">
      <c r="A50" s="27">
        <f t="shared" si="3"/>
        <v>25</v>
      </c>
      <c r="B50" s="707" t="s">
        <v>830</v>
      </c>
      <c r="C50" s="400" t="s">
        <v>831</v>
      </c>
      <c r="D50" s="401">
        <v>0.05</v>
      </c>
      <c r="E50" s="19">
        <f t="shared" si="2"/>
        <v>0.05</v>
      </c>
      <c r="F50" s="19">
        <v>0</v>
      </c>
      <c r="G50"/>
      <c r="M50" s="9"/>
      <c r="N50" s="9"/>
      <c r="O50" s="11"/>
      <c r="P50" s="11"/>
      <c r="Q50" s="11"/>
      <c r="R50" s="11"/>
      <c r="S50" s="11"/>
    </row>
    <row r="51" spans="1:19">
      <c r="A51" s="27">
        <f t="shared" si="3"/>
        <v>26</v>
      </c>
      <c r="B51" s="707"/>
      <c r="C51" s="400"/>
      <c r="D51" s="401"/>
      <c r="E51" s="19"/>
      <c r="F51" s="19"/>
      <c r="G51"/>
      <c r="M51" s="9"/>
      <c r="N51" s="9"/>
      <c r="O51" s="11"/>
      <c r="P51" s="11"/>
      <c r="Q51" s="11"/>
      <c r="R51" s="11"/>
      <c r="S51" s="11"/>
    </row>
    <row r="52" spans="1:19">
      <c r="A52" s="27">
        <f t="shared" si="3"/>
        <v>27</v>
      </c>
      <c r="B52" s="707"/>
      <c r="C52" s="400"/>
      <c r="D52" s="401"/>
      <c r="E52" s="19"/>
      <c r="F52" s="19"/>
      <c r="G52"/>
      <c r="M52" s="9"/>
      <c r="N52" s="9"/>
      <c r="O52" s="11"/>
      <c r="P52" s="11"/>
      <c r="Q52" s="11"/>
      <c r="R52" s="11"/>
      <c r="S52" s="11"/>
    </row>
    <row r="53" spans="1:19">
      <c r="A53" s="27">
        <f t="shared" si="3"/>
        <v>28</v>
      </c>
      <c r="B53" s="707"/>
      <c r="C53" s="400"/>
      <c r="D53" s="401"/>
      <c r="E53" s="19"/>
      <c r="F53" s="19"/>
      <c r="G53"/>
      <c r="M53" s="9"/>
      <c r="N53" s="9"/>
      <c r="O53" s="11"/>
      <c r="P53" s="11"/>
      <c r="Q53" s="11"/>
      <c r="R53" s="11"/>
      <c r="S53" s="11"/>
    </row>
    <row r="54" spans="1:19">
      <c r="A54" s="27">
        <f t="shared" si="3"/>
        <v>29</v>
      </c>
      <c r="B54" s="707"/>
      <c r="C54" s="400"/>
      <c r="D54" s="401"/>
      <c r="E54" s="19"/>
      <c r="F54" s="19"/>
      <c r="G54"/>
      <c r="M54" s="9"/>
      <c r="N54" s="9"/>
      <c r="O54" s="11"/>
      <c r="P54" s="11"/>
      <c r="Q54" s="11"/>
      <c r="R54" s="11"/>
      <c r="S54" s="11"/>
    </row>
    <row r="55" spans="1:19">
      <c r="A55" s="27">
        <f t="shared" si="3"/>
        <v>30</v>
      </c>
      <c r="B55" s="707"/>
      <c r="C55" s="400"/>
      <c r="D55" s="401"/>
      <c r="E55" s="19"/>
      <c r="F55" s="19"/>
      <c r="G55"/>
      <c r="M55" s="9"/>
      <c r="N55" s="9"/>
      <c r="O55" s="11"/>
      <c r="P55" s="11"/>
      <c r="Q55" s="11"/>
      <c r="R55" s="11"/>
      <c r="S55" s="11"/>
    </row>
    <row r="56" spans="1:19">
      <c r="A56" s="27">
        <f t="shared" si="3"/>
        <v>31</v>
      </c>
      <c r="B56" s="707"/>
      <c r="C56" s="400"/>
      <c r="D56" s="401"/>
      <c r="E56" s="19"/>
      <c r="F56" s="19"/>
      <c r="G56"/>
      <c r="M56" s="9"/>
      <c r="N56" s="9"/>
      <c r="O56" s="11"/>
      <c r="P56" s="11"/>
      <c r="Q56" s="11"/>
      <c r="R56" s="11"/>
      <c r="S56" s="11"/>
    </row>
    <row r="57" spans="1:19">
      <c r="A57" s="27">
        <f t="shared" si="3"/>
        <v>32</v>
      </c>
      <c r="B57" s="707"/>
      <c r="C57" s="400"/>
      <c r="D57" s="401"/>
      <c r="E57" s="19"/>
      <c r="F57" s="22"/>
      <c r="G57"/>
      <c r="M57" s="9"/>
      <c r="N57" s="9"/>
      <c r="O57" s="11"/>
      <c r="P57" s="11"/>
      <c r="Q57" s="11"/>
      <c r="R57" s="11"/>
      <c r="S57" s="11"/>
    </row>
    <row r="58" spans="1:19">
      <c r="A58" s="27">
        <f t="shared" si="3"/>
        <v>33</v>
      </c>
      <c r="B58" s="707"/>
      <c r="C58" s="400"/>
      <c r="D58" s="401"/>
      <c r="E58" s="19"/>
      <c r="F58" s="22"/>
      <c r="G58"/>
    </row>
    <row r="59" spans="1:19">
      <c r="A59" s="27">
        <f t="shared" si="3"/>
        <v>34</v>
      </c>
      <c r="B59" s="707"/>
      <c r="C59" s="400"/>
      <c r="D59" s="401"/>
      <c r="E59" s="19"/>
      <c r="F59" s="22"/>
      <c r="G59" s="21"/>
    </row>
    <row r="60" spans="1:19">
      <c r="A60" s="27">
        <f t="shared" si="3"/>
        <v>35</v>
      </c>
      <c r="B60" s="707"/>
      <c r="C60" s="400"/>
      <c r="D60" s="401"/>
      <c r="E60" s="19"/>
      <c r="F60" s="22"/>
      <c r="G60" s="21"/>
    </row>
    <row r="61" spans="1:19">
      <c r="A61" s="27">
        <f t="shared" si="3"/>
        <v>36</v>
      </c>
      <c r="B61" s="707"/>
      <c r="C61" s="400"/>
      <c r="D61" s="401"/>
      <c r="E61" s="19"/>
      <c r="F61" s="22"/>
      <c r="G61" s="21"/>
    </row>
    <row r="62" spans="1:19">
      <c r="A62" s="27">
        <f t="shared" si="3"/>
        <v>37</v>
      </c>
      <c r="B62" s="707"/>
      <c r="C62" s="400"/>
      <c r="D62" s="401"/>
      <c r="E62" s="19"/>
      <c r="F62" s="22"/>
      <c r="G62" s="21"/>
    </row>
    <row r="63" spans="1:19">
      <c r="A63" s="27"/>
      <c r="B63" s="20"/>
      <c r="C63" s="21"/>
      <c r="D63" s="29"/>
      <c r="E63" s="30"/>
      <c r="F63" s="29"/>
      <c r="G63" s="21"/>
    </row>
    <row r="64" spans="1:19" ht="15.75">
      <c r="A64" s="27">
        <f>+A62+1</f>
        <v>38</v>
      </c>
      <c r="B64" s="25"/>
      <c r="C64" s="917" t="s">
        <v>633</v>
      </c>
      <c r="D64" s="31">
        <f>SUM(D47:D63)</f>
        <v>56.22</v>
      </c>
      <c r="E64" s="31">
        <f>SUM(E47:E63)</f>
        <v>56.22</v>
      </c>
      <c r="F64" s="31">
        <f>SUM(F47:F63)</f>
        <v>0</v>
      </c>
      <c r="G64" s="10"/>
    </row>
    <row r="65" spans="1:11" ht="12.75" customHeight="1">
      <c r="A65" s="27"/>
      <c r="B65" s="16"/>
      <c r="C65" s="16"/>
      <c r="D65" s="16"/>
      <c r="E65" s="16"/>
      <c r="F65" s="16"/>
      <c r="G65" s="16"/>
    </row>
    <row r="66" spans="1:11" ht="15.75">
      <c r="A66" s="27"/>
      <c r="B66" s="15"/>
      <c r="C66" s="46" t="s">
        <v>502</v>
      </c>
      <c r="D66" s="32"/>
      <c r="E66" s="32"/>
      <c r="F66" s="32"/>
      <c r="G66" s="15"/>
    </row>
    <row r="67" spans="1:11">
      <c r="A67" s="27">
        <f>+A64+1</f>
        <v>39</v>
      </c>
      <c r="B67" s="707" t="s">
        <v>832</v>
      </c>
      <c r="C67" s="400" t="s">
        <v>833</v>
      </c>
      <c r="D67" s="401">
        <v>61705.684999999998</v>
      </c>
      <c r="E67" s="19">
        <f>D67</f>
        <v>61705.684999999998</v>
      </c>
      <c r="F67" s="22">
        <v>0</v>
      </c>
      <c r="G67" s="9"/>
      <c r="H67" s="9"/>
      <c r="J67" s="11"/>
      <c r="K67" s="11"/>
    </row>
    <row r="68" spans="1:11">
      <c r="A68" s="27">
        <f>+A67+1</f>
        <v>40</v>
      </c>
      <c r="B68" s="707" t="s">
        <v>834</v>
      </c>
      <c r="C68" s="400" t="s">
        <v>835</v>
      </c>
      <c r="D68" s="401">
        <v>1926.97</v>
      </c>
      <c r="E68" s="19">
        <f>D68</f>
        <v>1926.97</v>
      </c>
      <c r="F68" s="22">
        <v>0</v>
      </c>
      <c r="G68" s="9"/>
      <c r="H68" s="9"/>
      <c r="J68" s="11"/>
      <c r="K68" s="11"/>
    </row>
    <row r="69" spans="1:11">
      <c r="A69" s="27">
        <f>+A68+1</f>
        <v>41</v>
      </c>
      <c r="B69" s="1066" t="s">
        <v>980</v>
      </c>
      <c r="C69" s="400" t="s">
        <v>981</v>
      </c>
      <c r="D69" s="401">
        <v>0</v>
      </c>
      <c r="E69" s="19"/>
      <c r="F69" s="22"/>
      <c r="G69" s="9"/>
      <c r="H69" s="9"/>
      <c r="J69" s="11"/>
      <c r="K69" s="11"/>
    </row>
    <row r="70" spans="1:11">
      <c r="A70" s="27">
        <f t="shared" ref="A70:A71" si="4">+A69+1</f>
        <v>42</v>
      </c>
      <c r="B70" s="707" t="s">
        <v>836</v>
      </c>
      <c r="C70" s="400" t="s">
        <v>837</v>
      </c>
      <c r="D70" s="401">
        <v>-4.53</v>
      </c>
      <c r="E70" s="19">
        <v>0</v>
      </c>
      <c r="F70" s="22">
        <f>D70</f>
        <v>-4.53</v>
      </c>
      <c r="G70" s="9"/>
      <c r="H70" s="9"/>
      <c r="J70" s="11"/>
      <c r="K70" s="11"/>
    </row>
    <row r="71" spans="1:11">
      <c r="A71" s="27">
        <f t="shared" si="4"/>
        <v>43</v>
      </c>
      <c r="B71" s="707"/>
      <c r="C71" s="400"/>
      <c r="D71" s="401"/>
      <c r="E71" s="19">
        <v>0</v>
      </c>
      <c r="F71" s="22">
        <f>D71</f>
        <v>0</v>
      </c>
      <c r="G71" s="16"/>
    </row>
    <row r="72" spans="1:11">
      <c r="A72" s="27"/>
      <c r="B72" s="16"/>
      <c r="C72" s="16"/>
      <c r="D72" s="16"/>
      <c r="E72" s="16"/>
      <c r="F72" s="16"/>
      <c r="G72" s="16"/>
    </row>
    <row r="73" spans="1:11" ht="15.75">
      <c r="A73" s="27">
        <f>+A71+1</f>
        <v>44</v>
      </c>
      <c r="B73" s="16"/>
      <c r="C73" s="917" t="s">
        <v>634</v>
      </c>
      <c r="D73" s="31">
        <f>SUM(D67:D72)</f>
        <v>63628.125</v>
      </c>
      <c r="E73" s="31">
        <f>SUM(E67:E72)</f>
        <v>63632.654999999999</v>
      </c>
      <c r="F73" s="31">
        <f>SUM(F67:F72)</f>
        <v>-4.53</v>
      </c>
      <c r="G73" s="10"/>
    </row>
    <row r="74" spans="1:11">
      <c r="A74" s="27"/>
      <c r="B74" s="41"/>
      <c r="C74"/>
      <c r="D74"/>
      <c r="E74"/>
      <c r="F74"/>
      <c r="G74"/>
    </row>
    <row r="75" spans="1:11" ht="12.75">
      <c r="A75" s="41"/>
      <c r="B75"/>
      <c r="C75"/>
      <c r="D75"/>
      <c r="E75"/>
      <c r="F75"/>
    </row>
    <row r="76" spans="1:11" ht="12.75">
      <c r="A76" s="41"/>
      <c r="B76"/>
      <c r="C76"/>
      <c r="D76"/>
      <c r="E76"/>
      <c r="F76"/>
    </row>
  </sheetData>
  <mergeCells count="6">
    <mergeCell ref="A3:G3"/>
    <mergeCell ref="A8:G8"/>
    <mergeCell ref="A7:F7"/>
    <mergeCell ref="A4:G4"/>
    <mergeCell ref="A5:G5"/>
    <mergeCell ref="A6:G6"/>
  </mergeCells>
  <phoneticPr fontId="0" type="noConversion"/>
  <pageMargins left="1.27" right="1.28" top="0.8" bottom="0.67" header="0.75" footer="0.4"/>
  <pageSetup scale="48" orientation="landscape"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O241"/>
  <sheetViews>
    <sheetView tabSelected="1" zoomScaleNormal="100" workbookViewId="0">
      <selection activeCell="B7" sqref="B7"/>
    </sheetView>
  </sheetViews>
  <sheetFormatPr defaultColWidth="8.85546875"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28515625" bestFit="1" customWidth="1"/>
  </cols>
  <sheetData>
    <row r="1" spans="1:15" ht="15.75">
      <c r="A1" s="744" t="s">
        <v>416</v>
      </c>
    </row>
    <row r="2" spans="1:15" ht="15.75">
      <c r="A2" s="744" t="s">
        <v>416</v>
      </c>
    </row>
    <row r="3" spans="1:15" ht="15">
      <c r="A3" s="1146" t="str">
        <f>TCOS!$F$5</f>
        <v>AEPTCo subsidiaries in PJM</v>
      </c>
      <c r="B3" s="1146" t="str">
        <f>TCOS!$F$5</f>
        <v>AEPTCo subsidiaries in PJM</v>
      </c>
      <c r="C3" s="1146" t="str">
        <f>TCOS!$F$5</f>
        <v>AEPTCo subsidiaries in PJM</v>
      </c>
      <c r="D3" s="1146" t="str">
        <f>TCOS!$F$5</f>
        <v>AEPTCo subsidiaries in PJM</v>
      </c>
      <c r="E3" s="1146" t="str">
        <f>TCOS!$F$5</f>
        <v>AEPTCo subsidiaries in PJM</v>
      </c>
      <c r="F3" s="1146" t="str">
        <f>TCOS!$F$5</f>
        <v>AEPTCo subsidiaries in PJM</v>
      </c>
      <c r="G3" s="1146" t="str">
        <f>TCOS!$F$5</f>
        <v>AEPTCo subsidiaries in PJM</v>
      </c>
      <c r="H3" s="1146" t="str">
        <f>TCOS!$F$5</f>
        <v>AEPTCo subsidiaries in PJM</v>
      </c>
    </row>
    <row r="4" spans="1:15" ht="15">
      <c r="A4" s="1147" t="str">
        <f>"Cost of Service Formula Rate Using Actual/Projected FF1 Balances"</f>
        <v>Cost of Service Formula Rate Using Actual/Projected FF1 Balances</v>
      </c>
      <c r="B4" s="1147"/>
      <c r="C4" s="1147"/>
      <c r="D4" s="1147"/>
      <c r="E4" s="1147"/>
      <c r="F4" s="1147"/>
      <c r="G4" s="1147"/>
      <c r="H4" s="1147"/>
    </row>
    <row r="5" spans="1:15" ht="15">
      <c r="A5" s="1147" t="s">
        <v>336</v>
      </c>
      <c r="B5" s="1147"/>
      <c r="C5" s="1147"/>
      <c r="D5" s="1147"/>
      <c r="E5" s="1147"/>
      <c r="F5" s="1147"/>
      <c r="G5" s="1147"/>
      <c r="H5" s="1147"/>
    </row>
    <row r="6" spans="1:15" ht="15">
      <c r="A6" s="1154" t="str">
        <f>TCOS!F9</f>
        <v>AEP Kentucky Transmission Company</v>
      </c>
      <c r="B6" s="1154"/>
      <c r="C6" s="1154"/>
      <c r="D6" s="1154"/>
      <c r="E6" s="1154"/>
      <c r="F6" s="1154"/>
      <c r="G6" s="1154"/>
    </row>
    <row r="7" spans="1:15" ht="12.75" customHeight="1">
      <c r="A7" s="6"/>
      <c r="B7" s="402"/>
      <c r="C7" s="402"/>
      <c r="D7" s="402"/>
      <c r="E7" s="402"/>
      <c r="F7" s="402"/>
      <c r="G7" s="402"/>
      <c r="H7" s="402"/>
      <c r="I7" s="402"/>
      <c r="J7" s="402"/>
      <c r="O7" s="403"/>
    </row>
    <row r="8" spans="1:15" ht="12.75" customHeight="1">
      <c r="A8" s="6"/>
      <c r="B8" s="17"/>
      <c r="C8" s="132"/>
      <c r="D8" s="132"/>
      <c r="E8" s="132"/>
      <c r="F8" s="132"/>
    </row>
    <row r="9" spans="1:15" ht="15">
      <c r="A9" s="404">
        <v>1</v>
      </c>
      <c r="B9" s="978" t="s">
        <v>850</v>
      </c>
      <c r="C9" s="405"/>
      <c r="D9" s="406"/>
      <c r="E9" s="411">
        <v>0.05</v>
      </c>
      <c r="F9" s="132"/>
      <c r="G9" s="407"/>
      <c r="H9" s="407"/>
      <c r="L9" s="1"/>
    </row>
    <row r="10" spans="1:15" ht="15">
      <c r="A10" s="1"/>
      <c r="B10" s="132" t="s">
        <v>621</v>
      </c>
      <c r="C10" s="405"/>
      <c r="D10" s="405"/>
      <c r="E10" s="412">
        <v>0.99199999999999999</v>
      </c>
      <c r="F10" s="132"/>
      <c r="G10" s="407"/>
      <c r="H10" s="407"/>
      <c r="L10" s="1"/>
    </row>
    <row r="11" spans="1:15" ht="15">
      <c r="A11" s="1"/>
      <c r="B11" s="132" t="s">
        <v>236</v>
      </c>
      <c r="C11" s="405"/>
      <c r="D11" s="405"/>
      <c r="E11" s="132"/>
      <c r="F11" s="408">
        <f>ROUND(E9*E10,6)</f>
        <v>4.9599999999999998E-2</v>
      </c>
      <c r="G11" s="407"/>
      <c r="L11" s="1"/>
    </row>
    <row r="12" spans="1:15" ht="15">
      <c r="A12" s="1"/>
      <c r="B12" s="132"/>
      <c r="C12" s="405"/>
      <c r="D12" s="405"/>
      <c r="E12" s="132"/>
      <c r="F12" s="408"/>
      <c r="G12" s="407"/>
      <c r="L12" s="1"/>
    </row>
    <row r="13" spans="1:15" ht="15">
      <c r="A13" s="1">
        <f>A9+1</f>
        <v>2</v>
      </c>
      <c r="B13" s="978" t="s">
        <v>113</v>
      </c>
      <c r="C13" s="405"/>
      <c r="D13" s="406"/>
      <c r="E13" s="411"/>
      <c r="F13" s="132"/>
      <c r="G13" s="407"/>
      <c r="L13" s="1"/>
    </row>
    <row r="14" spans="1:15" ht="15">
      <c r="A14" s="1"/>
      <c r="B14" s="132" t="s">
        <v>621</v>
      </c>
      <c r="C14" s="405"/>
      <c r="D14" s="405"/>
      <c r="E14" s="412"/>
      <c r="F14" s="132"/>
      <c r="G14" s="407"/>
      <c r="L14" s="1"/>
    </row>
    <row r="15" spans="1:15" ht="15">
      <c r="A15" s="1"/>
      <c r="B15" s="132" t="s">
        <v>236</v>
      </c>
      <c r="C15" s="405"/>
      <c r="D15" s="405"/>
      <c r="E15" s="132"/>
      <c r="F15" s="408">
        <f>ROUND(E13*E14,6)</f>
        <v>0</v>
      </c>
      <c r="G15" s="407"/>
      <c r="L15" s="1"/>
    </row>
    <row r="16" spans="1:15" ht="15">
      <c r="A16" s="1"/>
      <c r="B16" s="132"/>
      <c r="C16" s="405"/>
      <c r="D16" s="405"/>
      <c r="E16" s="132"/>
      <c r="F16" s="408"/>
      <c r="G16" s="407"/>
      <c r="L16" s="1"/>
    </row>
    <row r="17" spans="1:12" ht="15">
      <c r="A17" s="1">
        <f>A13+1</f>
        <v>3</v>
      </c>
      <c r="B17" s="978" t="s">
        <v>113</v>
      </c>
      <c r="C17" s="405"/>
      <c r="D17" s="406"/>
      <c r="E17" s="411"/>
      <c r="F17" s="132"/>
      <c r="G17" s="407"/>
      <c r="L17" s="1"/>
    </row>
    <row r="18" spans="1:12" ht="15">
      <c r="A18" s="1"/>
      <c r="B18" s="132" t="s">
        <v>621</v>
      </c>
      <c r="C18" s="405"/>
      <c r="D18" s="405"/>
      <c r="E18" s="412"/>
      <c r="F18" s="132"/>
      <c r="G18" s="407"/>
      <c r="L18" s="1"/>
    </row>
    <row r="19" spans="1:12" ht="15">
      <c r="A19" s="1"/>
      <c r="B19" s="132" t="s">
        <v>236</v>
      </c>
      <c r="C19" s="405"/>
      <c r="D19" s="405"/>
      <c r="E19" s="132"/>
      <c r="F19" s="408">
        <f>ROUND(E17*E18,6)</f>
        <v>0</v>
      </c>
      <c r="G19" s="407"/>
      <c r="L19" s="1"/>
    </row>
    <row r="20" spans="1:12" ht="15">
      <c r="A20" s="1"/>
      <c r="B20" s="132"/>
      <c r="C20" s="405"/>
      <c r="D20" s="405"/>
      <c r="E20" s="132"/>
      <c r="F20" s="408"/>
      <c r="G20" s="407"/>
      <c r="L20" s="1"/>
    </row>
    <row r="21" spans="1:12" ht="15">
      <c r="A21" s="1">
        <f>A17+1</f>
        <v>4</v>
      </c>
      <c r="B21" s="978" t="s">
        <v>113</v>
      </c>
      <c r="C21" s="405"/>
      <c r="D21" s="406"/>
      <c r="E21" s="411"/>
      <c r="F21" s="132"/>
      <c r="G21" s="407"/>
      <c r="L21" s="1"/>
    </row>
    <row r="22" spans="1:12" ht="15">
      <c r="A22" s="1"/>
      <c r="B22" s="132" t="s">
        <v>621</v>
      </c>
      <c r="C22" s="405"/>
      <c r="D22" s="405"/>
      <c r="E22" s="412"/>
      <c r="F22" s="132"/>
      <c r="G22" s="407"/>
      <c r="L22" s="1"/>
    </row>
    <row r="23" spans="1:12" ht="15">
      <c r="A23" s="1"/>
      <c r="B23" s="132" t="s">
        <v>236</v>
      </c>
      <c r="C23" s="405"/>
      <c r="D23" s="405"/>
      <c r="E23" s="132"/>
      <c r="F23" s="408">
        <f>ROUND(E21*E22,6)</f>
        <v>0</v>
      </c>
      <c r="G23" s="407"/>
      <c r="L23" s="1"/>
    </row>
    <row r="24" spans="1:12" ht="15">
      <c r="A24" s="1"/>
      <c r="B24" s="132"/>
      <c r="C24" s="405"/>
      <c r="D24" s="405"/>
      <c r="E24" s="132"/>
      <c r="F24" s="408"/>
      <c r="G24" s="407"/>
      <c r="L24" s="1"/>
    </row>
    <row r="25" spans="1:12" ht="15">
      <c r="A25" s="1">
        <f>A21+1</f>
        <v>5</v>
      </c>
      <c r="B25" s="978" t="s">
        <v>113</v>
      </c>
      <c r="C25" s="405"/>
      <c r="D25" s="406"/>
      <c r="E25" s="411"/>
      <c r="F25" s="409"/>
      <c r="G25" s="407"/>
      <c r="L25" s="1"/>
    </row>
    <row r="26" spans="1:12" ht="15">
      <c r="A26" s="1"/>
      <c r="B26" s="132" t="s">
        <v>621</v>
      </c>
      <c r="C26" s="405"/>
      <c r="D26" s="405"/>
      <c r="E26" s="412"/>
      <c r="F26" s="409"/>
      <c r="G26" s="407"/>
      <c r="L26" s="1"/>
    </row>
    <row r="27" spans="1:12" ht="15">
      <c r="A27" s="1"/>
      <c r="B27" s="132" t="s">
        <v>236</v>
      </c>
      <c r="C27" s="405"/>
      <c r="D27" s="405"/>
      <c r="E27" s="132"/>
      <c r="F27" s="408">
        <f>ROUND(E25*E26,6)</f>
        <v>0</v>
      </c>
      <c r="G27" s="407"/>
      <c r="L27" s="1"/>
    </row>
    <row r="28" spans="1:12" ht="15">
      <c r="A28" s="1"/>
      <c r="B28" s="132"/>
      <c r="C28" s="405"/>
      <c r="D28" s="405"/>
      <c r="E28" s="405"/>
      <c r="F28" s="409"/>
      <c r="G28" s="407"/>
      <c r="L28" s="1"/>
    </row>
    <row r="29" spans="1:12" ht="15.75" thickBot="1">
      <c r="A29" s="1"/>
      <c r="B29" s="132" t="s">
        <v>495</v>
      </c>
      <c r="C29" s="132"/>
      <c r="D29" s="132"/>
      <c r="E29" s="132"/>
      <c r="F29" s="410">
        <f>SUM(F11:F27)</f>
        <v>4.9599999999999998E-2</v>
      </c>
      <c r="G29" s="407"/>
      <c r="L29" s="1"/>
    </row>
    <row r="30" spans="1:12" ht="13.5" thickTop="1">
      <c r="A30" s="1"/>
      <c r="L30" s="1"/>
    </row>
    <row r="31" spans="1:12">
      <c r="A31" s="1"/>
      <c r="L31" s="1"/>
    </row>
    <row r="32" spans="1:12">
      <c r="A32" s="1"/>
      <c r="L32" s="1"/>
    </row>
    <row r="33" spans="1:12" ht="12.75" customHeight="1">
      <c r="A33" s="1"/>
      <c r="C33" s="132"/>
      <c r="D33" s="132"/>
      <c r="E33" s="132"/>
      <c r="F33" s="132"/>
      <c r="L33" s="1"/>
    </row>
    <row r="34" spans="1:12">
      <c r="A34" s="3" t="s">
        <v>295</v>
      </c>
      <c r="B34" s="3" t="s">
        <v>200</v>
      </c>
      <c r="C34" s="3"/>
      <c r="D34" s="3"/>
      <c r="E34" s="3"/>
      <c r="F34" s="3"/>
      <c r="G34" s="3"/>
    </row>
    <row r="241" spans="2:2">
      <c r="B241" t="s">
        <v>31</v>
      </c>
    </row>
  </sheetData>
  <mergeCells count="4">
    <mergeCell ref="A6:G6"/>
    <mergeCell ref="A3:H3"/>
    <mergeCell ref="A4:H4"/>
    <mergeCell ref="A5:H5"/>
  </mergeCells>
  <phoneticPr fontId="0" type="noConversion"/>
  <pageMargins left="0.26" right="1.28" top="1" bottom="1" header="0.75" footer="0.5"/>
  <pageSetup scale="90"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C216"/>
  <sheetViews>
    <sheetView tabSelected="1" topLeftCell="A13" zoomScale="80" zoomScaleNormal="80" zoomScalePageLayoutView="50" workbookViewId="0">
      <selection activeCell="B7" sqref="B7"/>
    </sheetView>
  </sheetViews>
  <sheetFormatPr defaultRowHeight="15"/>
  <cols>
    <col min="1" max="1" width="7.28515625" style="59" customWidth="1"/>
    <col min="2" max="2" width="1.7109375" style="50" customWidth="1"/>
    <col min="3" max="3" width="62.42578125" style="50" customWidth="1"/>
    <col min="4" max="4" width="11" style="50" customWidth="1"/>
    <col min="5" max="5" width="20.42578125" style="55" customWidth="1"/>
    <col min="6" max="6" width="1.7109375" style="50" customWidth="1"/>
    <col min="7" max="7" width="20" style="50" bestFit="1" customWidth="1"/>
    <col min="8" max="8" width="1.7109375" style="50" customWidth="1"/>
    <col min="9" max="9" width="21.42578125" style="50" customWidth="1"/>
    <col min="10" max="10" width="1.7109375" style="50" customWidth="1"/>
    <col min="11" max="11" width="17.7109375" style="50" bestFit="1" customWidth="1"/>
    <col min="12" max="12" width="3.42578125" style="50" customWidth="1"/>
    <col min="13" max="13" width="22.5703125" style="50" customWidth="1"/>
    <col min="14" max="14" width="1.28515625" style="50" customWidth="1"/>
    <col min="15" max="15" width="22.140625" style="413" customWidth="1"/>
    <col min="16" max="16384" width="9.140625" style="50"/>
  </cols>
  <sheetData>
    <row r="1" spans="1:29" ht="15.75">
      <c r="A1" s="744" t="s">
        <v>416</v>
      </c>
    </row>
    <row r="2" spans="1:29" ht="15.75">
      <c r="A2" s="744" t="s">
        <v>416</v>
      </c>
    </row>
    <row r="3" spans="1:29" ht="18.75" customHeight="1">
      <c r="A3" s="1146" t="str">
        <f>TCOS!$F$5</f>
        <v>AEPTCo subsidiaries in PJM</v>
      </c>
      <c r="B3" s="1146" t="str">
        <f>TCOS!$F$5</f>
        <v>AEPTCo subsidiaries in PJM</v>
      </c>
      <c r="C3" s="1146" t="str">
        <f>TCOS!$F$5</f>
        <v>AEPTCo subsidiaries in PJM</v>
      </c>
      <c r="D3" s="1146" t="str">
        <f>TCOS!$F$5</f>
        <v>AEPTCo subsidiaries in PJM</v>
      </c>
      <c r="E3" s="1146" t="str">
        <f>TCOS!$F$5</f>
        <v>AEPTCo subsidiaries in PJM</v>
      </c>
      <c r="F3" s="1146" t="str">
        <f>TCOS!$F$5</f>
        <v>AEPTCo subsidiaries in PJM</v>
      </c>
      <c r="G3" s="1146" t="str">
        <f>TCOS!$F$5</f>
        <v>AEPTCo subsidiaries in PJM</v>
      </c>
      <c r="H3" s="1146" t="str">
        <f>TCOS!$F$5</f>
        <v>AEPTCo subsidiaries in PJM</v>
      </c>
      <c r="I3" s="1146" t="str">
        <f>TCOS!$F$5</f>
        <v>AEPTCo subsidiaries in PJM</v>
      </c>
      <c r="J3" s="1146" t="str">
        <f>TCOS!$F$5</f>
        <v>AEPTCo subsidiaries in PJM</v>
      </c>
      <c r="K3" s="1146" t="str">
        <f>TCOS!$F$5</f>
        <v>AEPTCo subsidiaries in PJM</v>
      </c>
      <c r="L3" s="1146" t="str">
        <f>TCOS!$F$5</f>
        <v>AEPTCo subsidiaries in PJM</v>
      </c>
      <c r="M3" s="1146" t="str">
        <f>TCOS!$F$5</f>
        <v>AEPTCo subsidiaries in PJM</v>
      </c>
    </row>
    <row r="4" spans="1:29" ht="18.75" customHeight="1">
      <c r="A4" s="1147" t="str">
        <f>"Cost of Service Formula Rate Using Actual/Projected FF1 Balances"</f>
        <v>Cost of Service Formula Rate Using Actual/Projected FF1 Balances</v>
      </c>
      <c r="B4" s="1147"/>
      <c r="C4" s="1147"/>
      <c r="D4" s="1147"/>
      <c r="E4" s="1147"/>
      <c r="F4" s="1147"/>
      <c r="G4" s="1147"/>
      <c r="H4" s="1147"/>
      <c r="I4" s="1147"/>
      <c r="J4" s="1147"/>
      <c r="K4" s="1147"/>
      <c r="L4" s="1147"/>
      <c r="M4" s="1147"/>
    </row>
    <row r="5" spans="1:29" ht="18.75" customHeight="1">
      <c r="A5" s="1147" t="s">
        <v>255</v>
      </c>
      <c r="B5" s="1147"/>
      <c r="C5" s="1147"/>
      <c r="D5" s="1147"/>
      <c r="E5" s="1147"/>
      <c r="F5" s="1147"/>
      <c r="G5" s="1147"/>
      <c r="H5" s="1147"/>
      <c r="I5" s="1147"/>
      <c r="J5" s="1147"/>
      <c r="K5" s="1147"/>
      <c r="L5" s="1147"/>
      <c r="M5" s="1147"/>
    </row>
    <row r="6" spans="1:29" ht="18.75" customHeight="1">
      <c r="A6" s="1148" t="str">
        <f>TCOS!F9</f>
        <v>AEP Kentucky Transmission Company</v>
      </c>
      <c r="B6" s="1148"/>
      <c r="C6" s="1148"/>
      <c r="D6" s="1148"/>
      <c r="E6" s="1148"/>
      <c r="F6" s="1148"/>
      <c r="G6" s="1148"/>
      <c r="H6" s="1148"/>
      <c r="I6" s="1148"/>
      <c r="J6" s="1148"/>
      <c r="K6" s="1148"/>
      <c r="L6" s="1148"/>
      <c r="M6" s="1148"/>
    </row>
    <row r="7" spans="1:29" ht="18" customHeight="1">
      <c r="A7" s="1154"/>
      <c r="B7" s="1154"/>
      <c r="C7" s="1154"/>
      <c r="D7" s="1154"/>
      <c r="E7" s="1154"/>
      <c r="F7" s="1154"/>
      <c r="G7" s="1154"/>
      <c r="H7" s="1154"/>
      <c r="I7" s="1154"/>
      <c r="J7" s="1154"/>
      <c r="K7" s="1154"/>
      <c r="L7" s="1154"/>
      <c r="M7" s="1154"/>
    </row>
    <row r="8" spans="1:29" ht="18" customHeight="1">
      <c r="A8" s="1179"/>
      <c r="B8" s="1179"/>
      <c r="C8" s="1179"/>
      <c r="D8" s="1179"/>
      <c r="E8" s="1179"/>
      <c r="F8" s="1179"/>
      <c r="G8" s="1179"/>
      <c r="H8" s="1179"/>
      <c r="I8" s="1179"/>
      <c r="J8" s="1179"/>
      <c r="K8" s="1179"/>
      <c r="L8" s="1179"/>
      <c r="M8" s="1179"/>
    </row>
    <row r="9" spans="1:29" ht="18" customHeight="1">
      <c r="A9" s="67"/>
      <c r="B9" s="67"/>
      <c r="C9" s="67"/>
      <c r="D9" s="67"/>
      <c r="E9" s="67"/>
      <c r="F9" s="67"/>
      <c r="G9" s="67"/>
      <c r="H9" s="67"/>
      <c r="I9" s="67"/>
      <c r="J9" s="67"/>
      <c r="K9" s="67"/>
      <c r="L9" s="67"/>
      <c r="M9" s="67"/>
    </row>
    <row r="10" spans="1:29" ht="19.5" customHeight="1">
      <c r="A10" s="52"/>
      <c r="B10" s="51"/>
      <c r="C10" s="15" t="s">
        <v>462</v>
      </c>
      <c r="E10" s="15" t="s">
        <v>463</v>
      </c>
      <c r="G10" s="15" t="s">
        <v>464</v>
      </c>
      <c r="I10" s="15" t="s">
        <v>465</v>
      </c>
      <c r="K10" s="15" t="s">
        <v>385</v>
      </c>
      <c r="M10" s="15" t="s">
        <v>386</v>
      </c>
    </row>
    <row r="11" spans="1:29" ht="18">
      <c r="A11" s="80"/>
      <c r="B11" s="81"/>
      <c r="C11" s="81"/>
      <c r="D11" s="81"/>
      <c r="E11"/>
      <c r="F11"/>
      <c r="G11"/>
      <c r="H11"/>
      <c r="I11"/>
      <c r="J11"/>
      <c r="K11"/>
      <c r="L11"/>
      <c r="M11"/>
      <c r="Q11" s="17"/>
      <c r="R11" s="17"/>
      <c r="S11" s="17"/>
      <c r="T11" s="17"/>
      <c r="U11" s="17"/>
      <c r="V11" s="17"/>
      <c r="W11" s="17"/>
      <c r="X11" s="17"/>
      <c r="Y11" s="17"/>
      <c r="Z11" s="17"/>
      <c r="AA11" s="17"/>
      <c r="AB11" s="17"/>
      <c r="AC11" s="17"/>
    </row>
    <row r="12" spans="1:29" ht="19.5">
      <c r="A12" s="80" t="s">
        <v>469</v>
      </c>
      <c r="B12" s="81"/>
      <c r="C12" s="81"/>
      <c r="D12" s="81"/>
      <c r="E12" s="82" t="s">
        <v>420</v>
      </c>
      <c r="F12" s="80"/>
      <c r="G12" s="80"/>
      <c r="H12" s="80"/>
      <c r="I12" s="80"/>
      <c r="J12" s="80"/>
      <c r="K12" s="54"/>
      <c r="L12" s="54"/>
      <c r="M12" s="414"/>
    </row>
    <row r="13" spans="1:29" ht="19.5">
      <c r="A13" s="83" t="s">
        <v>419</v>
      </c>
      <c r="B13" s="81"/>
      <c r="C13" s="83" t="s">
        <v>110</v>
      </c>
      <c r="D13" s="81"/>
      <c r="E13" s="84" t="s">
        <v>483</v>
      </c>
      <c r="F13" s="80"/>
      <c r="G13" s="83" t="s">
        <v>114</v>
      </c>
      <c r="H13" s="80"/>
      <c r="I13" s="83" t="s">
        <v>461</v>
      </c>
      <c r="J13" s="80"/>
      <c r="K13" s="415" t="s">
        <v>481</v>
      </c>
      <c r="L13" s="416"/>
      <c r="M13" s="415" t="s">
        <v>115</v>
      </c>
    </row>
    <row r="14" spans="1:29" ht="19.5">
      <c r="A14" s="52"/>
      <c r="B14" s="51"/>
      <c r="C14" s="49"/>
      <c r="D14" s="49"/>
      <c r="E14" s="49" t="s">
        <v>333</v>
      </c>
      <c r="F14" s="49"/>
      <c r="G14" s="49"/>
      <c r="H14" s="49"/>
      <c r="I14" s="49"/>
      <c r="J14" s="49"/>
      <c r="K14" s="48"/>
      <c r="L14" s="48"/>
    </row>
    <row r="15" spans="1:29" ht="19.5">
      <c r="A15" s="52"/>
      <c r="B15" s="51"/>
      <c r="C15" s="51"/>
      <c r="D15" s="51"/>
      <c r="E15" s="417"/>
      <c r="F15" s="51"/>
      <c r="G15" s="51"/>
      <c r="H15" s="51"/>
      <c r="I15" s="418"/>
      <c r="J15" s="51"/>
      <c r="K15" s="48"/>
      <c r="L15" s="48"/>
    </row>
    <row r="16" spans="1:29" ht="19.5">
      <c r="A16" s="52">
        <v>1</v>
      </c>
      <c r="B16" s="51"/>
      <c r="C16" s="53" t="s">
        <v>126</v>
      </c>
      <c r="D16" s="51"/>
      <c r="E16" s="48"/>
      <c r="F16" s="48"/>
      <c r="G16" s="66"/>
      <c r="H16" s="66"/>
      <c r="I16" s="66"/>
      <c r="J16" s="66"/>
      <c r="K16" s="66"/>
      <c r="L16" s="66"/>
      <c r="M16" s="66"/>
    </row>
    <row r="17" spans="1:15" ht="19.5">
      <c r="A17" s="52">
        <f>+A16+1</f>
        <v>2</v>
      </c>
      <c r="B17" s="51"/>
      <c r="C17" s="51" t="s">
        <v>111</v>
      </c>
      <c r="D17" s="51"/>
      <c r="E17" s="66">
        <f>+'WS H-p2 Detail of Tax Amts'!E14</f>
        <v>0</v>
      </c>
      <c r="F17" s="48"/>
      <c r="G17" s="66"/>
      <c r="H17" s="66"/>
      <c r="I17" s="66"/>
      <c r="J17" s="66"/>
      <c r="K17" s="66"/>
      <c r="L17" s="66"/>
      <c r="M17" s="66">
        <f>+E17</f>
        <v>0</v>
      </c>
    </row>
    <row r="18" spans="1:15" ht="19.5">
      <c r="A18" s="52"/>
      <c r="B18" s="51"/>
      <c r="C18" s="54"/>
      <c r="D18" s="51"/>
      <c r="E18" s="48"/>
      <c r="F18" s="48"/>
      <c r="G18" s="66"/>
      <c r="H18" s="66"/>
      <c r="I18" s="66"/>
      <c r="J18" s="66"/>
      <c r="K18" s="66"/>
      <c r="L18" s="66"/>
      <c r="M18" s="66"/>
    </row>
    <row r="19" spans="1:15" ht="19.5">
      <c r="A19" s="52">
        <f>+A17+1</f>
        <v>3</v>
      </c>
      <c r="B19" s="51"/>
      <c r="C19" s="53" t="s">
        <v>127</v>
      </c>
      <c r="D19" s="51"/>
      <c r="E19" s="48"/>
      <c r="F19" s="48"/>
      <c r="G19" s="66"/>
      <c r="H19" s="66"/>
      <c r="I19" s="66"/>
      <c r="J19" s="66"/>
      <c r="K19" s="66"/>
      <c r="L19" s="66"/>
      <c r="M19" s="66"/>
    </row>
    <row r="20" spans="1:15" ht="19.5">
      <c r="A20" s="52">
        <f>+A19+1</f>
        <v>4</v>
      </c>
      <c r="B20" s="51"/>
      <c r="C20" s="51" t="s">
        <v>840</v>
      </c>
      <c r="D20" s="51"/>
      <c r="E20" s="66">
        <f>'WS H-p2 Detail of Tax Amts'!E23</f>
        <v>1304554.05</v>
      </c>
      <c r="F20" s="51"/>
      <c r="G20" s="66">
        <f>+E20</f>
        <v>1304554.05</v>
      </c>
      <c r="H20" s="66"/>
      <c r="I20" s="66"/>
      <c r="J20" s="66"/>
      <c r="K20" s="66"/>
      <c r="L20" s="66"/>
      <c r="M20" s="66"/>
      <c r="O20"/>
    </row>
    <row r="21" spans="1:15" ht="19.5">
      <c r="A21" s="52">
        <f>+A20+1</f>
        <v>5</v>
      </c>
      <c r="B21" s="51"/>
      <c r="C21" s="51" t="s">
        <v>841</v>
      </c>
      <c r="D21" s="51"/>
      <c r="E21" s="66">
        <f>'WS H-p2 Detail of Tax Amts'!E30</f>
        <v>0</v>
      </c>
      <c r="F21" s="51"/>
      <c r="G21" s="66">
        <f>+E21</f>
        <v>0</v>
      </c>
      <c r="H21" s="66"/>
      <c r="I21" s="66"/>
      <c r="J21" s="66"/>
      <c r="K21" s="66"/>
      <c r="L21" s="66"/>
      <c r="M21" s="66"/>
      <c r="O21"/>
    </row>
    <row r="22" spans="1:15" ht="19.5">
      <c r="A22" s="52">
        <f>+A21+1</f>
        <v>6</v>
      </c>
      <c r="B22" s="51"/>
      <c r="C22" s="51" t="s">
        <v>841</v>
      </c>
      <c r="D22" s="51"/>
      <c r="E22" s="66">
        <f>'WS H-p2 Detail of Tax Amts'!E37</f>
        <v>0</v>
      </c>
      <c r="F22" s="51"/>
      <c r="G22" s="66">
        <f>+E22</f>
        <v>0</v>
      </c>
      <c r="H22" s="66"/>
      <c r="I22" s="66"/>
      <c r="J22" s="66"/>
      <c r="K22" s="66"/>
      <c r="L22" s="66"/>
      <c r="M22" s="66"/>
      <c r="O22"/>
    </row>
    <row r="23" spans="1:15" ht="19.5">
      <c r="A23" s="52">
        <f>+A22+1</f>
        <v>7</v>
      </c>
      <c r="B23" s="51"/>
      <c r="C23" s="51" t="s">
        <v>251</v>
      </c>
      <c r="D23" s="89"/>
      <c r="E23" s="66">
        <f>+'WS H-p2 Detail of Tax Amts'!E40</f>
        <v>0</v>
      </c>
      <c r="F23" s="48"/>
      <c r="G23" s="66">
        <f>+E23</f>
        <v>0</v>
      </c>
      <c r="H23" s="66"/>
      <c r="I23" s="66"/>
      <c r="J23" s="66"/>
      <c r="K23" s="66"/>
      <c r="L23" s="66"/>
      <c r="M23" s="66"/>
      <c r="O23"/>
    </row>
    <row r="24" spans="1:15" ht="19.5">
      <c r="A24" s="52"/>
      <c r="B24" s="51"/>
      <c r="C24" s="54"/>
      <c r="D24" s="51"/>
      <c r="E24" s="48"/>
      <c r="F24" s="48"/>
      <c r="G24" s="66"/>
      <c r="H24" s="66"/>
      <c r="I24" s="66"/>
      <c r="J24" s="66"/>
      <c r="K24" s="66"/>
      <c r="L24" s="66"/>
      <c r="M24" s="66"/>
      <c r="O24" s="419"/>
    </row>
    <row r="25" spans="1:15" ht="19.5">
      <c r="A25" s="52">
        <f>+A23+1</f>
        <v>8</v>
      </c>
      <c r="B25" s="51"/>
      <c r="C25" s="53" t="s">
        <v>128</v>
      </c>
      <c r="D25" s="51"/>
      <c r="E25" s="48"/>
      <c r="F25" s="48"/>
      <c r="G25" s="66"/>
      <c r="H25" s="66"/>
      <c r="I25" s="66"/>
      <c r="J25" s="66"/>
      <c r="K25" s="66"/>
      <c r="L25" s="66"/>
      <c r="M25" s="66"/>
      <c r="O25" s="419"/>
    </row>
    <row r="26" spans="1:15" ht="19.5">
      <c r="A26" s="52">
        <f>+A25+1</f>
        <v>9</v>
      </c>
      <c r="B26" s="51"/>
      <c r="C26" s="51" t="s">
        <v>124</v>
      </c>
      <c r="D26" s="51"/>
      <c r="E26" s="66">
        <f>+'WS H-p2 Detail of Tax Amts'!E50</f>
        <v>0</v>
      </c>
      <c r="F26" s="48"/>
      <c r="G26" s="66"/>
      <c r="H26" s="66"/>
      <c r="I26" s="66">
        <f>+E26</f>
        <v>0</v>
      </c>
      <c r="J26" s="66"/>
      <c r="K26" s="66"/>
      <c r="L26" s="66"/>
      <c r="M26" s="66"/>
      <c r="O26" s="419"/>
    </row>
    <row r="27" spans="1:15" ht="19.5">
      <c r="A27" s="52">
        <f>+A26+1</f>
        <v>10</v>
      </c>
      <c r="B27" s="51"/>
      <c r="C27" s="51" t="s">
        <v>117</v>
      </c>
      <c r="D27" s="51"/>
      <c r="E27" s="66">
        <f>+'WS H-p2 Detail of Tax Amts'!E52</f>
        <v>0</v>
      </c>
      <c r="F27" s="48"/>
      <c r="G27" s="48"/>
      <c r="H27" s="48"/>
      <c r="I27" s="66">
        <f>+E27</f>
        <v>0</v>
      </c>
      <c r="J27" s="51"/>
      <c r="K27" s="48"/>
      <c r="L27" s="48"/>
      <c r="M27" s="66"/>
    </row>
    <row r="28" spans="1:15" ht="19.5">
      <c r="A28" s="52">
        <f>+A27+1</f>
        <v>11</v>
      </c>
      <c r="B28" s="51"/>
      <c r="C28" s="51" t="s">
        <v>118</v>
      </c>
      <c r="D28" s="51"/>
      <c r="E28" s="66">
        <f>+'WS H-p2 Detail of Tax Amts'!E54</f>
        <v>0</v>
      </c>
      <c r="F28" s="48"/>
      <c r="G28" s="48"/>
      <c r="H28" s="48"/>
      <c r="I28" s="66">
        <f>+E28</f>
        <v>0</v>
      </c>
      <c r="J28" s="417"/>
      <c r="K28" s="48"/>
      <c r="L28" s="48"/>
      <c r="M28" s="66"/>
    </row>
    <row r="29" spans="1:15" ht="19.5">
      <c r="A29" s="52" t="s">
        <v>416</v>
      </c>
      <c r="B29" s="51"/>
      <c r="C29" s="48"/>
      <c r="D29" s="51"/>
      <c r="E29" s="48"/>
      <c r="F29" s="48"/>
      <c r="G29" s="48"/>
      <c r="H29" s="48"/>
      <c r="I29" s="420"/>
      <c r="J29" s="421"/>
      <c r="K29" s="422"/>
      <c r="L29" s="422"/>
      <c r="M29" s="66"/>
    </row>
    <row r="30" spans="1:15" ht="19.5">
      <c r="A30" s="52">
        <f>A28+1</f>
        <v>12</v>
      </c>
      <c r="B30" s="51"/>
      <c r="C30" s="423" t="s">
        <v>320</v>
      </c>
      <c r="D30" s="51"/>
      <c r="E30" s="107"/>
      <c r="F30" s="107"/>
      <c r="G30" s="107"/>
      <c r="H30" s="107"/>
      <c r="I30" s="424"/>
      <c r="J30" s="425"/>
      <c r="K30" s="426"/>
      <c r="L30" s="426"/>
      <c r="M30" s="427"/>
    </row>
    <row r="31" spans="1:15" ht="19.5">
      <c r="A31" s="52">
        <f>A30+1</f>
        <v>13</v>
      </c>
      <c r="B31" s="51"/>
      <c r="C31" s="51" t="s">
        <v>222</v>
      </c>
      <c r="D31" s="89"/>
      <c r="E31" s="66">
        <f>+'WS H-p2 Detail of Tax Amts'!E59</f>
        <v>0</v>
      </c>
      <c r="F31" s="48"/>
      <c r="G31" s="48"/>
      <c r="H31" s="48"/>
      <c r="I31" s="420"/>
      <c r="J31" s="421"/>
      <c r="K31" s="422"/>
      <c r="L31" s="422"/>
      <c r="M31" s="66">
        <f>E31</f>
        <v>0</v>
      </c>
    </row>
    <row r="32" spans="1:15" ht="19.5">
      <c r="A32" s="52"/>
      <c r="B32" s="51"/>
      <c r="C32" s="48"/>
      <c r="D32" s="51"/>
      <c r="E32" s="48"/>
      <c r="F32" s="48"/>
      <c r="G32" s="48"/>
      <c r="H32" s="48"/>
      <c r="I32" s="420"/>
      <c r="J32" s="421"/>
      <c r="K32" s="422"/>
      <c r="L32" s="422"/>
      <c r="M32" s="66"/>
    </row>
    <row r="33" spans="1:13" ht="19.5">
      <c r="A33" s="56">
        <f>A31+1</f>
        <v>14</v>
      </c>
      <c r="B33" s="57"/>
      <c r="C33" s="53" t="s">
        <v>125</v>
      </c>
      <c r="D33" s="58"/>
      <c r="E33" s="48"/>
      <c r="F33" s="48"/>
      <c r="G33" s="66"/>
      <c r="H33" s="66"/>
      <c r="I33" s="66"/>
      <c r="J33" s="66"/>
      <c r="K33" s="66"/>
      <c r="L33" s="66"/>
      <c r="M33" s="66"/>
    </row>
    <row r="34" spans="1:13" ht="19.5">
      <c r="A34" s="56">
        <f>A33+1</f>
        <v>15</v>
      </c>
      <c r="B34" s="57"/>
      <c r="C34" s="51" t="s">
        <v>221</v>
      </c>
      <c r="D34" s="58"/>
      <c r="E34" s="66">
        <f>+'WS H-p2 Detail of Tax Amts'!E62</f>
        <v>0</v>
      </c>
      <c r="F34" s="48"/>
      <c r="G34" s="66"/>
      <c r="H34" s="66"/>
      <c r="I34" s="66"/>
      <c r="J34" s="66"/>
      <c r="K34" s="66"/>
      <c r="L34" s="66"/>
      <c r="M34" s="66">
        <f>E34</f>
        <v>0</v>
      </c>
    </row>
    <row r="35" spans="1:13" ht="19.5">
      <c r="A35" s="52">
        <f>A34+1</f>
        <v>16</v>
      </c>
      <c r="B35" s="51"/>
      <c r="C35" s="51" t="s">
        <v>119</v>
      </c>
      <c r="D35" s="51"/>
      <c r="E35" s="66">
        <f>+'WS H-p2 Detail of Tax Amts'!E65</f>
        <v>0</v>
      </c>
      <c r="F35" s="48"/>
      <c r="G35" s="66"/>
      <c r="H35" s="66"/>
      <c r="I35" s="66"/>
      <c r="J35" s="66"/>
      <c r="K35" s="66">
        <f>+E35</f>
        <v>0</v>
      </c>
      <c r="L35" s="66"/>
      <c r="M35" s="66"/>
    </row>
    <row r="36" spans="1:13" ht="19.5">
      <c r="A36" s="52">
        <f t="shared" ref="A36:A41" si="0">+A35+1</f>
        <v>17</v>
      </c>
      <c r="B36" s="51"/>
      <c r="C36" s="51" t="s">
        <v>120</v>
      </c>
      <c r="D36"/>
      <c r="E36" s="66">
        <f>+'WS H-p2 Detail of Tax Amts'!E69</f>
        <v>0</v>
      </c>
      <c r="F36" s="48"/>
      <c r="G36" s="66"/>
      <c r="H36" s="66"/>
      <c r="I36" s="66"/>
      <c r="J36" s="66"/>
      <c r="K36" s="66">
        <f>+E36</f>
        <v>0</v>
      </c>
      <c r="L36" s="66"/>
      <c r="M36" s="66"/>
    </row>
    <row r="37" spans="1:13" ht="19.5">
      <c r="A37" s="52">
        <f>+A36+1</f>
        <v>18</v>
      </c>
      <c r="B37" s="51"/>
      <c r="C37" s="51" t="s">
        <v>121</v>
      </c>
      <c r="D37"/>
      <c r="E37" s="66">
        <f>'WS H-p2 Detail of Tax Amts'!E81</f>
        <v>0</v>
      </c>
      <c r="F37" s="48"/>
      <c r="G37" s="66"/>
      <c r="H37" s="66"/>
      <c r="I37" s="66"/>
      <c r="J37" s="66"/>
      <c r="K37" s="66">
        <f>+E37</f>
        <v>0</v>
      </c>
      <c r="L37" s="66"/>
      <c r="M37" s="66"/>
    </row>
    <row r="38" spans="1:13" ht="19.5">
      <c r="A38" s="52">
        <f t="shared" si="0"/>
        <v>19</v>
      </c>
      <c r="B38" s="51"/>
      <c r="C38" s="51" t="s">
        <v>122</v>
      </c>
      <c r="D38" s="51"/>
      <c r="E38" s="66">
        <f>+'WS H-p2 Detail of Tax Amts'!E86</f>
        <v>0</v>
      </c>
      <c r="F38" s="48"/>
      <c r="G38" s="66"/>
      <c r="H38" s="66"/>
      <c r="I38" s="66"/>
      <c r="J38" s="66"/>
      <c r="K38" s="66">
        <f>+E38</f>
        <v>0</v>
      </c>
      <c r="L38" s="66"/>
      <c r="M38" s="66"/>
    </row>
    <row r="39" spans="1:13" ht="19.5">
      <c r="A39" s="52">
        <f t="shared" si="0"/>
        <v>20</v>
      </c>
      <c r="B39" s="51"/>
      <c r="C39" s="51" t="s">
        <v>123</v>
      </c>
      <c r="D39" s="51"/>
      <c r="E39" s="66">
        <f>+'WS H-p2 Detail of Tax Amts'!E89</f>
        <v>0</v>
      </c>
      <c r="F39" s="48"/>
      <c r="G39" s="66"/>
      <c r="H39" s="66"/>
      <c r="I39" s="66"/>
      <c r="J39" s="66"/>
      <c r="K39" s="66"/>
      <c r="L39" s="66"/>
      <c r="M39" s="66">
        <f>+E39</f>
        <v>0</v>
      </c>
    </row>
    <row r="40" spans="1:13" ht="19.5">
      <c r="A40" s="52">
        <f t="shared" si="0"/>
        <v>21</v>
      </c>
      <c r="B40" s="48"/>
      <c r="C40" s="51" t="s">
        <v>112</v>
      </c>
      <c r="D40" s="48"/>
      <c r="E40" s="66">
        <f>+'WS H-p2 Detail of Tax Amts'!E95</f>
        <v>0</v>
      </c>
      <c r="F40" s="48"/>
      <c r="G40" s="66"/>
      <c r="H40" s="66"/>
      <c r="I40" s="66"/>
      <c r="J40" s="66"/>
      <c r="K40" s="66"/>
      <c r="L40" s="66"/>
      <c r="M40" s="66">
        <f>+E40</f>
        <v>0</v>
      </c>
    </row>
    <row r="41" spans="1:13" ht="19.5">
      <c r="A41" s="52">
        <f t="shared" si="0"/>
        <v>22</v>
      </c>
      <c r="B41" s="48"/>
      <c r="C41" s="51" t="s">
        <v>408</v>
      </c>
      <c r="D41" s="48"/>
      <c r="E41" s="66">
        <v>0</v>
      </c>
      <c r="F41" s="48"/>
      <c r="G41" s="66"/>
      <c r="H41" s="66"/>
      <c r="I41" s="66"/>
      <c r="J41" s="66"/>
      <c r="K41" s="66"/>
      <c r="L41" s="66"/>
      <c r="M41" s="66">
        <f>+E41</f>
        <v>0</v>
      </c>
    </row>
    <row r="42" spans="1:13" ht="19.5">
      <c r="A42" s="3"/>
      <c r="B42" s="41"/>
      <c r="C42" s="51"/>
      <c r="D42"/>
      <c r="E42"/>
      <c r="F42" s="48"/>
      <c r="H42" s="428"/>
      <c r="I42" s="429"/>
      <c r="J42" s="429"/>
      <c r="K42" s="422"/>
      <c r="L42" s="430"/>
      <c r="M42" s="430"/>
    </row>
    <row r="43" spans="1:13" ht="20.25" thickBot="1">
      <c r="A43" s="95">
        <f>+A41+1</f>
        <v>23</v>
      </c>
      <c r="B43" s="41"/>
      <c r="C43" s="51" t="s">
        <v>116</v>
      </c>
      <c r="D43"/>
      <c r="E43" s="431">
        <f>SUM(E17:E41)</f>
        <v>1304554.05</v>
      </c>
      <c r="F43" s="48"/>
      <c r="G43" s="431">
        <f>SUM(G17:G41)</f>
        <v>1304554.05</v>
      </c>
      <c r="H43" s="428"/>
      <c r="I43" s="431">
        <f>SUM(I17:I41)</f>
        <v>0</v>
      </c>
      <c r="J43" s="429"/>
      <c r="K43" s="431">
        <f>SUM(K17:K41)</f>
        <v>0</v>
      </c>
      <c r="L43" s="430"/>
      <c r="M43" s="431">
        <f>SUM(M17:M41)</f>
        <v>0</v>
      </c>
    </row>
    <row r="44" spans="1:13" ht="20.25" thickTop="1">
      <c r="A44" s="3"/>
      <c r="B44" s="41"/>
      <c r="C44" s="51" t="s">
        <v>181</v>
      </c>
      <c r="D44"/>
      <c r="E44"/>
      <c r="F44" s="48"/>
      <c r="G44" s="428"/>
      <c r="H44" s="428"/>
      <c r="I44" s="429"/>
      <c r="J44" s="155"/>
      <c r="K44" s="430"/>
      <c r="L44" s="430"/>
      <c r="M44" s="430"/>
    </row>
    <row r="45" spans="1:13" ht="19.5">
      <c r="A45" s="3"/>
      <c r="B45" s="41"/>
      <c r="C45" s="51" t="s">
        <v>5</v>
      </c>
      <c r="D45"/>
      <c r="E45"/>
      <c r="F45" s="48"/>
      <c r="G45" s="428"/>
      <c r="H45" s="428"/>
      <c r="I45" s="429"/>
      <c r="J45" s="155"/>
      <c r="K45" s="430"/>
      <c r="L45" s="430"/>
      <c r="M45" s="430"/>
    </row>
    <row r="46" spans="1:13" ht="19.5">
      <c r="A46" s="3"/>
      <c r="B46" s="41"/>
      <c r="C46" s="1181" t="s">
        <v>250</v>
      </c>
      <c r="D46" s="1181"/>
      <c r="E46" s="1181"/>
      <c r="F46" s="1181"/>
      <c r="G46" s="1181"/>
      <c r="H46" s="1181"/>
      <c r="I46" s="1181"/>
      <c r="J46" s="1181"/>
      <c r="K46" s="1181"/>
      <c r="L46" s="1181"/>
      <c r="M46" s="1181"/>
    </row>
    <row r="47" spans="1:13" ht="78">
      <c r="A47" s="52"/>
      <c r="C47" s="48"/>
      <c r="D47" s="48"/>
      <c r="E47" s="432" t="s">
        <v>321</v>
      </c>
      <c r="G47" s="433" t="s">
        <v>417</v>
      </c>
      <c r="H47" s="433"/>
      <c r="I47" s="432" t="s">
        <v>322</v>
      </c>
      <c r="J47" s="433"/>
      <c r="K47" s="433" t="s">
        <v>136</v>
      </c>
      <c r="L47" s="433"/>
      <c r="M47" s="433" t="s">
        <v>420</v>
      </c>
    </row>
    <row r="48" spans="1:13" ht="19.5">
      <c r="A48" s="52">
        <f>+A43+1</f>
        <v>24</v>
      </c>
      <c r="C48" s="107" t="str">
        <f>"Functionalized Net Plant (TCOS, Lns "&amp;TCOS!B83&amp;" thru "&amp;TCOS!B87&amp;")"</f>
        <v>Functionalized Net Plant (TCOS, Lns 33 thru 36)</v>
      </c>
      <c r="D48" s="48"/>
      <c r="E48" s="434">
        <v>0</v>
      </c>
      <c r="F48" s="107"/>
      <c r="G48" s="434">
        <f>+TCOS!G83</f>
        <v>129229845.19153845</v>
      </c>
      <c r="H48" s="107"/>
      <c r="I48" s="434">
        <v>0</v>
      </c>
      <c r="J48" s="107"/>
      <c r="K48" s="434">
        <f>+TCOS!G84</f>
        <v>22394085.804615378</v>
      </c>
      <c r="L48" s="48"/>
      <c r="M48" s="435">
        <f>SUM(E48:K48)</f>
        <v>151623930.99615383</v>
      </c>
    </row>
    <row r="49" spans="1:21" ht="19.5">
      <c r="A49" s="52"/>
      <c r="C49" s="54" t="s">
        <v>842</v>
      </c>
      <c r="D49" s="48"/>
      <c r="E49" s="435"/>
      <c r="F49" s="48"/>
      <c r="G49" s="436"/>
      <c r="H49" s="48"/>
      <c r="I49" s="435"/>
      <c r="J49" s="48"/>
      <c r="K49" s="435"/>
      <c r="L49" s="48"/>
      <c r="M49" s="437"/>
    </row>
    <row r="50" spans="1:21" ht="19.5">
      <c r="A50" s="52">
        <f>+A48+1</f>
        <v>25</v>
      </c>
      <c r="C50" s="48" t="str">
        <f>"Percentage of Plant in "&amp;C49&amp;""</f>
        <v>Percentage of Plant in KENTUCKY JURISDICTION</v>
      </c>
      <c r="D50" s="48"/>
      <c r="E50" s="449"/>
      <c r="F50" s="438"/>
      <c r="G50" s="449">
        <v>1</v>
      </c>
      <c r="H50" s="438"/>
      <c r="I50" s="449"/>
      <c r="J50" s="438"/>
      <c r="K50" s="449">
        <v>1</v>
      </c>
      <c r="L50" s="48"/>
      <c r="M50" s="437"/>
    </row>
    <row r="51" spans="1:21" ht="19.5">
      <c r="A51" s="52">
        <f t="shared" ref="A51:A58" si="1">+A50+1</f>
        <v>26</v>
      </c>
      <c r="C51" s="107" t="str">
        <f>"Net Plant in "&amp;C49&amp;" (Ln "&amp;A48&amp;" * Ln "&amp;A50&amp;")"</f>
        <v>Net Plant in KENTUCKY JURISDICTION (Ln 24 * Ln 25)</v>
      </c>
      <c r="D51" s="48"/>
      <c r="E51" s="435">
        <f>+E48*E50</f>
        <v>0</v>
      </c>
      <c r="F51" s="48"/>
      <c r="G51" s="435">
        <f>+G48*G50</f>
        <v>129229845.19153845</v>
      </c>
      <c r="H51" s="48"/>
      <c r="I51" s="435">
        <f>+I48*I50</f>
        <v>0</v>
      </c>
      <c r="J51" s="48"/>
      <c r="K51" s="435">
        <f>+K48*K50</f>
        <v>22394085.804615378</v>
      </c>
      <c r="L51" s="48"/>
      <c r="M51" s="435">
        <f>SUM(E51:K51)</f>
        <v>151623930.99615383</v>
      </c>
      <c r="O51"/>
    </row>
    <row r="52" spans="1:21" ht="19.5">
      <c r="A52" s="52">
        <f t="shared" si="1"/>
        <v>27</v>
      </c>
      <c r="C52" s="107" t="s">
        <v>551</v>
      </c>
      <c r="D52" s="48"/>
      <c r="E52" s="449"/>
      <c r="F52" s="48"/>
      <c r="G52" s="439"/>
      <c r="H52" s="48"/>
      <c r="I52" s="439"/>
      <c r="J52" s="48"/>
      <c r="K52" s="439"/>
      <c r="L52" s="48"/>
      <c r="M52" s="435"/>
      <c r="O52"/>
    </row>
    <row r="53" spans="1:21" ht="19.5">
      <c r="A53" s="52">
        <f t="shared" si="1"/>
        <v>28</v>
      </c>
      <c r="C53" s="48" t="str">
        <f>"Taxable Property Basis (Ln "&amp;A51&amp;" - Ln "&amp;A52&amp;")"</f>
        <v>Taxable Property Basis (Ln 26 - Ln 27)</v>
      </c>
      <c r="D53" s="48"/>
      <c r="E53" s="435">
        <f>+E51-E52</f>
        <v>0</v>
      </c>
      <c r="F53" s="48"/>
      <c r="G53" s="435">
        <f>+G51-G52</f>
        <v>129229845.19153845</v>
      </c>
      <c r="H53" s="48"/>
      <c r="I53" s="435">
        <f>+I51-I52</f>
        <v>0</v>
      </c>
      <c r="J53" s="48"/>
      <c r="K53" s="435">
        <f>+K51-K52</f>
        <v>22394085.804615378</v>
      </c>
      <c r="L53" s="48"/>
      <c r="M53" s="435">
        <f>SUM(E53:K53)</f>
        <v>151623930.99615383</v>
      </c>
      <c r="O53"/>
    </row>
    <row r="54" spans="1:21" ht="19.5">
      <c r="A54" s="52">
        <f t="shared" si="1"/>
        <v>29</v>
      </c>
      <c r="C54" s="66" t="s">
        <v>248</v>
      </c>
      <c r="D54" s="48"/>
      <c r="E54" s="449"/>
      <c r="F54" s="438"/>
      <c r="G54" s="449"/>
      <c r="H54" s="438"/>
      <c r="I54" s="449"/>
      <c r="J54" s="438"/>
      <c r="K54" s="449"/>
      <c r="L54" s="48"/>
      <c r="M54" s="435">
        <f>SUM(E54:K54)</f>
        <v>0</v>
      </c>
      <c r="O54"/>
    </row>
    <row r="55" spans="1:21" ht="19.5">
      <c r="A55" s="52">
        <f t="shared" si="1"/>
        <v>30</v>
      </c>
      <c r="C55" s="107" t="str">
        <f>"Weighted Net Plant (Ln "&amp;A53&amp;" * Ln "&amp;A54&amp;")"</f>
        <v>Weighted Net Plant (Ln 28 * Ln 29)</v>
      </c>
      <c r="D55" s="48"/>
      <c r="E55" s="435">
        <f>+E53*E54</f>
        <v>0</v>
      </c>
      <c r="F55" s="48"/>
      <c r="G55" s="435">
        <f>+G53*G54</f>
        <v>0</v>
      </c>
      <c r="H55" s="48"/>
      <c r="I55" s="435">
        <f>+I53*I54</f>
        <v>0</v>
      </c>
      <c r="J55" s="48"/>
      <c r="K55" s="435">
        <f>+K53*K54</f>
        <v>0</v>
      </c>
      <c r="L55" s="48"/>
      <c r="M55" s="435"/>
      <c r="O55"/>
      <c r="P55"/>
      <c r="Q55"/>
      <c r="R55"/>
      <c r="S55"/>
      <c r="T55"/>
      <c r="U55"/>
    </row>
    <row r="56" spans="1:21" ht="19.5">
      <c r="A56" s="52">
        <f t="shared" si="1"/>
        <v>31</v>
      </c>
      <c r="C56" s="48" t="str">
        <f>+"General Plant Allocator (Ln "&amp;A55&amp;" / (Total - General Plant))"</f>
        <v>General Plant Allocator (Ln 30 / (Total - General Plant))</v>
      </c>
      <c r="D56" s="48"/>
      <c r="E56" s="440">
        <f>IF(E54=0,0,+E55/($E55+$G55+$I55))</f>
        <v>0</v>
      </c>
      <c r="F56" s="48"/>
      <c r="G56" s="440">
        <v>1</v>
      </c>
      <c r="H56" s="48"/>
      <c r="I56" s="440">
        <f>IF(I54=0,0,+I55/($E55+$G55+$I55))</f>
        <v>0</v>
      </c>
      <c r="J56" s="48"/>
      <c r="K56" s="440">
        <v>1</v>
      </c>
      <c r="L56" s="48"/>
      <c r="M56" s="48"/>
      <c r="O56"/>
      <c r="P56"/>
      <c r="Q56"/>
      <c r="R56"/>
      <c r="S56"/>
      <c r="T56"/>
      <c r="U56"/>
    </row>
    <row r="57" spans="1:21" ht="19.5">
      <c r="A57" s="52">
        <f t="shared" si="1"/>
        <v>32</v>
      </c>
      <c r="C57" s="48" t="str">
        <f>"Functionalized General Plant (Ln "&amp;A56&amp;" * General Plant)"</f>
        <v>Functionalized General Plant (Ln 31 * General Plant)</v>
      </c>
      <c r="D57" s="48"/>
      <c r="E57" s="441">
        <f>ROUND($K55*E56,0)</f>
        <v>0</v>
      </c>
      <c r="F57" s="48"/>
      <c r="G57" s="441">
        <f>+G56*K55</f>
        <v>0</v>
      </c>
      <c r="H57" s="48"/>
      <c r="I57" s="441">
        <f>ROUND($K55*I56,0)</f>
        <v>0</v>
      </c>
      <c r="J57" s="48"/>
      <c r="K57" s="441">
        <f>ROUND($K55*K56,0)</f>
        <v>0</v>
      </c>
      <c r="L57" s="48"/>
      <c r="M57" s="435">
        <f>IF(SUM(E57:K57)&lt;&gt;0,0,0)</f>
        <v>0</v>
      </c>
      <c r="O57"/>
      <c r="P57"/>
      <c r="Q57"/>
      <c r="R57"/>
      <c r="S57"/>
      <c r="T57"/>
      <c r="U57"/>
    </row>
    <row r="58" spans="1:21" ht="19.5">
      <c r="A58" s="52">
        <f t="shared" si="1"/>
        <v>33</v>
      </c>
      <c r="C58" s="48" t="str">
        <f>"Weighted "&amp;C49&amp;" Plant (Ln "&amp;A55&amp;" + "&amp;A57&amp;")"</f>
        <v>Weighted KENTUCKY JURISDICTION Plant (Ln 30 + 32)</v>
      </c>
      <c r="D58" s="48"/>
      <c r="E58" s="435">
        <f>+E55+E57</f>
        <v>0</v>
      </c>
      <c r="F58" s="48"/>
      <c r="G58" s="435">
        <f>+G55+G57</f>
        <v>0</v>
      </c>
      <c r="H58" s="48"/>
      <c r="I58" s="435">
        <f>+I55+I57</f>
        <v>0</v>
      </c>
      <c r="J58" s="48"/>
      <c r="K58" s="435">
        <f>+K55+K57</f>
        <v>0</v>
      </c>
      <c r="L58" s="48"/>
      <c r="M58" s="435">
        <f>SUM(E58:K58)-SUM(E57:K57)</f>
        <v>0</v>
      </c>
      <c r="O58"/>
    </row>
    <row r="59" spans="1:21" ht="19.5">
      <c r="A59" s="52">
        <f>+A58+1</f>
        <v>34</v>
      </c>
      <c r="C59" s="48" t="str">
        <f>"Functional Percentage (Ln "&amp;A58&amp;"/Total Ln "&amp;A58&amp;")"</f>
        <v>Functional Percentage (Ln 33/Total Ln 33)</v>
      </c>
      <c r="D59" s="48"/>
      <c r="E59" s="436">
        <f>IF(E58=0,0,+E58/$M$58)</f>
        <v>0</v>
      </c>
      <c r="F59" s="48"/>
      <c r="G59" s="436">
        <v>1</v>
      </c>
      <c r="H59" s="48"/>
      <c r="I59" s="436">
        <f>IF(I58=0,0,+I58/$M$58)</f>
        <v>0</v>
      </c>
      <c r="J59" s="48"/>
      <c r="K59" s="436">
        <v>1</v>
      </c>
      <c r="L59" s="48"/>
      <c r="M59" s="435"/>
      <c r="O59"/>
    </row>
    <row r="60" spans="1:21" ht="19.5">
      <c r="A60" s="52"/>
      <c r="C60" s="446" t="s">
        <v>619</v>
      </c>
      <c r="D60" s="48"/>
      <c r="E60" s="435"/>
      <c r="F60" s="48"/>
      <c r="G60" s="442"/>
      <c r="H60" s="48"/>
      <c r="I60" s="435"/>
      <c r="J60" s="48"/>
      <c r="K60" s="436"/>
      <c r="L60" s="48"/>
      <c r="M60" s="435"/>
      <c r="O60"/>
    </row>
    <row r="61" spans="1:21" ht="19.5">
      <c r="A61" s="52">
        <f>A59+1</f>
        <v>35</v>
      </c>
      <c r="C61" s="447" t="str">
        <f>"Net Plant in "&amp;C60&amp;" (Ln "&amp;A48&amp;" - Ln "&amp;A51&amp;")"</f>
        <v>Net Plant in ____________ JURISDICTION (Ln 24 - Ln 26)</v>
      </c>
      <c r="D61" s="48"/>
      <c r="E61" s="435">
        <f>+E48-E51</f>
        <v>0</v>
      </c>
      <c r="F61" s="48"/>
      <c r="G61" s="435">
        <f>+G48-G51</f>
        <v>0</v>
      </c>
      <c r="H61" s="48"/>
      <c r="I61" s="435">
        <f>+I48-I51</f>
        <v>0</v>
      </c>
      <c r="J61" s="48"/>
      <c r="K61" s="435">
        <f>+K48-K51</f>
        <v>0</v>
      </c>
      <c r="L61" s="48"/>
      <c r="M61" s="435">
        <f>SUM(E61:K61)</f>
        <v>0</v>
      </c>
      <c r="O61"/>
    </row>
    <row r="62" spans="1:21" ht="19.5">
      <c r="A62" s="52">
        <f t="shared" ref="A62:A68" si="2">+A61+1</f>
        <v>36</v>
      </c>
      <c r="C62" s="107" t="s">
        <v>550</v>
      </c>
      <c r="D62" s="48"/>
      <c r="E62" s="449"/>
      <c r="F62" s="48"/>
      <c r="G62" s="439"/>
      <c r="H62" s="48"/>
      <c r="I62" s="439"/>
      <c r="J62" s="48"/>
      <c r="K62" s="439"/>
      <c r="L62" s="48"/>
      <c r="M62" s="435"/>
      <c r="O62"/>
    </row>
    <row r="63" spans="1:21" ht="19.5">
      <c r="A63" s="52">
        <f t="shared" si="2"/>
        <v>37</v>
      </c>
      <c r="C63" s="48" t="s">
        <v>249</v>
      </c>
      <c r="D63" s="48"/>
      <c r="E63" s="435">
        <f>+E61-E62</f>
        <v>0</v>
      </c>
      <c r="F63" s="48"/>
      <c r="G63" s="435">
        <f>+G61-G62</f>
        <v>0</v>
      </c>
      <c r="H63" s="48"/>
      <c r="I63" s="435">
        <f>+I61-I62</f>
        <v>0</v>
      </c>
      <c r="J63" s="48"/>
      <c r="K63" s="435">
        <f>+K61-K62</f>
        <v>0</v>
      </c>
      <c r="L63" s="48"/>
      <c r="M63" s="435">
        <f>SUM(E63:K63)</f>
        <v>0</v>
      </c>
      <c r="O63"/>
    </row>
    <row r="64" spans="1:21" ht="19.5">
      <c r="A64" s="52">
        <f t="shared" si="2"/>
        <v>38</v>
      </c>
      <c r="C64" s="66" t="s">
        <v>248</v>
      </c>
      <c r="D64" s="48"/>
      <c r="E64" s="449"/>
      <c r="F64" s="438"/>
      <c r="G64" s="449"/>
      <c r="H64" s="438"/>
      <c r="I64" s="449"/>
      <c r="J64" s="438"/>
      <c r="K64" s="449"/>
      <c r="L64" s="48"/>
      <c r="M64" s="435"/>
      <c r="O64"/>
    </row>
    <row r="65" spans="1:15" ht="19.5">
      <c r="A65" s="52">
        <f t="shared" si="2"/>
        <v>39</v>
      </c>
      <c r="C65" s="48" t="str">
        <f>"Weighted Net Plant (Ln "&amp;A63&amp;" * Ln "&amp;A64&amp;")"</f>
        <v>Weighted Net Plant (Ln 37 * Ln 38)</v>
      </c>
      <c r="D65" s="48"/>
      <c r="E65" s="435">
        <f>+E63*E64</f>
        <v>0</v>
      </c>
      <c r="F65" s="48"/>
      <c r="G65" s="435">
        <f>+G63*G64</f>
        <v>0</v>
      </c>
      <c r="H65" s="48"/>
      <c r="I65" s="435">
        <f>+I63*I64</f>
        <v>0</v>
      </c>
      <c r="J65" s="48"/>
      <c r="K65" s="435">
        <f>+K63*K64</f>
        <v>0</v>
      </c>
      <c r="L65" s="48"/>
      <c r="M65" s="435"/>
      <c r="O65"/>
    </row>
    <row r="66" spans="1:15" ht="19.5">
      <c r="A66" s="52">
        <f t="shared" si="2"/>
        <v>40</v>
      </c>
      <c r="C66" s="48" t="str">
        <f>+"General Plant Allocator (Ln "&amp;A65&amp;" / (Total - General Plant)"</f>
        <v>General Plant Allocator (Ln 39 / (Total - General Plant)</v>
      </c>
      <c r="D66" s="48"/>
      <c r="E66" s="440">
        <f>IF(E64=0,0,+E65/($E65+$G65+$I65))</f>
        <v>0</v>
      </c>
      <c r="F66" s="48"/>
      <c r="G66" s="440">
        <v>1</v>
      </c>
      <c r="H66" s="48"/>
      <c r="I66" s="440">
        <f>IF(I64=0,0,+I65/($E65+$G65+$I65))</f>
        <v>0</v>
      </c>
      <c r="J66" s="48"/>
      <c r="K66" s="440">
        <v>1</v>
      </c>
      <c r="L66" s="48"/>
      <c r="M66" s="435"/>
      <c r="O66"/>
    </row>
    <row r="67" spans="1:15" ht="19.5">
      <c r="A67" s="52">
        <f t="shared" si="2"/>
        <v>41</v>
      </c>
      <c r="C67" s="48" t="str">
        <f>"Functionalized General Plant (Ln "&amp;A67&amp;" * General Plant)"</f>
        <v>Functionalized General Plant (Ln 41 * General Plant)</v>
      </c>
      <c r="D67" s="48"/>
      <c r="E67" s="441">
        <f>ROUND($K65*E66,0)</f>
        <v>0</v>
      </c>
      <c r="F67" s="48"/>
      <c r="G67" s="441">
        <f>ROUND($K65*G66,0)</f>
        <v>0</v>
      </c>
      <c r="H67" s="48"/>
      <c r="I67" s="441">
        <f>ROUND($K65*I66,0)</f>
        <v>0</v>
      </c>
      <c r="J67" s="48"/>
      <c r="K67" s="441">
        <f>ROUND($K65*K66,0)</f>
        <v>0</v>
      </c>
      <c r="L67" s="48"/>
      <c r="M67" s="435"/>
      <c r="O67"/>
    </row>
    <row r="68" spans="1:15" ht="19.5">
      <c r="A68" s="52">
        <f t="shared" si="2"/>
        <v>42</v>
      </c>
      <c r="C68" s="448" t="str">
        <f>"Weighted "&amp;C60&amp;" Plant (Ln "&amp;A65&amp;" + "&amp;A67&amp;")"</f>
        <v>Weighted ____________ JURISDICTION Plant (Ln 39 + 41)</v>
      </c>
      <c r="D68" s="48"/>
      <c r="E68" s="435">
        <f>+E65+E67</f>
        <v>0</v>
      </c>
      <c r="F68" s="48"/>
      <c r="G68" s="435">
        <f>+G65+G67</f>
        <v>0</v>
      </c>
      <c r="H68" s="48"/>
      <c r="I68" s="435">
        <f>+I65+I67</f>
        <v>0</v>
      </c>
      <c r="J68" s="48"/>
      <c r="K68" s="435">
        <f>+K65+K67</f>
        <v>0</v>
      </c>
      <c r="L68" s="48"/>
      <c r="M68" s="435">
        <f>SUM(E68:K68)-SUM(E67:K67)</f>
        <v>0</v>
      </c>
      <c r="O68"/>
    </row>
    <row r="69" spans="1:15" ht="19.5">
      <c r="A69" s="52">
        <f>+A68+1</f>
        <v>43</v>
      </c>
      <c r="C69" s="48" t="str">
        <f>"Functional Percentage (Ln "&amp;A68&amp;"/Total Ln "&amp;A68&amp;")"</f>
        <v>Functional Percentage (Ln 42/Total Ln 42)</v>
      </c>
      <c r="D69" s="48"/>
      <c r="E69" s="436">
        <f>IF(E68=0,0,+E68/$M$68)</f>
        <v>0</v>
      </c>
      <c r="F69" s="48"/>
      <c r="G69" s="436">
        <v>1</v>
      </c>
      <c r="H69" s="48"/>
      <c r="I69" s="436">
        <f>IF(I68=0,0,+I68/$M$68)</f>
        <v>0</v>
      </c>
      <c r="J69"/>
      <c r="K69" s="436">
        <f>IF(K68=0,0,+K68/$M$68)</f>
        <v>0</v>
      </c>
      <c r="L69" s="48"/>
      <c r="M69" s="435"/>
      <c r="O69"/>
    </row>
    <row r="70" spans="1:15" ht="19.5">
      <c r="A70" s="52"/>
      <c r="C70" s="48"/>
      <c r="D70" s="48"/>
      <c r="E70" s="66"/>
      <c r="F70" s="66"/>
      <c r="G70" s="66"/>
      <c r="H70" s="66"/>
      <c r="I70" s="66"/>
      <c r="J70" s="48"/>
      <c r="K70" s="443"/>
      <c r="L70" s="48"/>
      <c r="M70" s="66"/>
      <c r="O70"/>
    </row>
    <row r="71" spans="1:15" ht="19.5">
      <c r="A71" s="52"/>
      <c r="D71" s="48"/>
      <c r="E71" s="443"/>
      <c r="F71" s="48"/>
      <c r="G71" s="443"/>
      <c r="H71" s="48"/>
      <c r="I71" s="443"/>
      <c r="J71" s="48"/>
      <c r="K71" s="443"/>
      <c r="L71" s="48"/>
      <c r="M71" s="66"/>
      <c r="O71"/>
    </row>
    <row r="72" spans="1:15" ht="12.75">
      <c r="O72"/>
    </row>
    <row r="73" spans="1:15" ht="12.75">
      <c r="O73"/>
    </row>
    <row r="74" spans="1:15" ht="12.75">
      <c r="G74" s="444"/>
      <c r="O74"/>
    </row>
    <row r="215" spans="7:7" ht="15.75" thickBot="1"/>
    <row r="216" spans="7:7" ht="20.25" thickBot="1">
      <c r="G216" s="445"/>
    </row>
  </sheetData>
  <mergeCells count="7">
    <mergeCell ref="A8:M8"/>
    <mergeCell ref="A7:M7"/>
    <mergeCell ref="C46:M46"/>
    <mergeCell ref="A3:M3"/>
    <mergeCell ref="A4:M4"/>
    <mergeCell ref="A5:M5"/>
    <mergeCell ref="A6:M6"/>
  </mergeCells>
  <phoneticPr fontId="71" type="noConversion"/>
  <pageMargins left="0.82" right="1.28" top="0.81" bottom="1" header="0.75" footer="0.5"/>
  <pageSetup scale="37" orientation="portrait" r:id="rId1"/>
  <headerFooter alignWithMargins="0">
    <oddHeader>&amp;R&amp;"Arial,Bold"Formula Rate 
&amp;A
Page &amp;P of &amp;N</oddHeader>
  </headerFooter>
  <colBreaks count="1" manualBreakCount="1">
    <brk id="13" min="2" max="9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T117"/>
  <sheetViews>
    <sheetView tabSelected="1" view="pageBreakPreview" topLeftCell="A55" zoomScale="60" zoomScaleNormal="60" workbookViewId="0">
      <selection activeCell="B7" sqref="B7"/>
    </sheetView>
  </sheetViews>
  <sheetFormatPr defaultRowHeight="12.75"/>
  <cols>
    <col min="1" max="1" width="7.28515625" style="59" customWidth="1"/>
    <col min="2" max="2" width="1.7109375" style="50" customWidth="1"/>
    <col min="3" max="3" width="65" style="50" customWidth="1"/>
    <col min="4" max="4" width="19.140625" style="50" customWidth="1"/>
    <col min="5" max="5" width="20.42578125" style="55" customWidth="1"/>
    <col min="6" max="6" width="20.42578125" style="50" bestFit="1" customWidth="1"/>
    <col min="7" max="7" width="35.7109375" style="50" bestFit="1" customWidth="1"/>
    <col min="8" max="8" width="17.7109375" style="50" customWidth="1"/>
    <col min="9" max="9" width="22.42578125" style="50" customWidth="1"/>
    <col min="10" max="16384" width="9.140625" style="50"/>
  </cols>
  <sheetData>
    <row r="1" spans="1:20" ht="15.75">
      <c r="A1" s="744" t="s">
        <v>416</v>
      </c>
      <c r="B1" s="50" t="s">
        <v>416</v>
      </c>
    </row>
    <row r="2" spans="1:20" ht="15.75">
      <c r="A2" s="744" t="s">
        <v>416</v>
      </c>
    </row>
    <row r="3" spans="1:20" ht="18.75" customHeight="1">
      <c r="A3" s="1146" t="str">
        <f>TCOS!$F$5</f>
        <v>AEPTCo subsidiaries in PJM</v>
      </c>
      <c r="B3" s="1146" t="str">
        <f>TCOS!$F$5</f>
        <v>AEPTCo subsidiaries in PJM</v>
      </c>
      <c r="C3" s="1146" t="str">
        <f>TCOS!$F$5</f>
        <v>AEPTCo subsidiaries in PJM</v>
      </c>
      <c r="D3" s="1146" t="str">
        <f>TCOS!$F$5</f>
        <v>AEPTCo subsidiaries in PJM</v>
      </c>
      <c r="E3" s="1146" t="str">
        <f>TCOS!$F$5</f>
        <v>AEPTCo subsidiaries in PJM</v>
      </c>
      <c r="F3" s="1183"/>
      <c r="G3" s="1183"/>
    </row>
    <row r="4" spans="1:20" ht="18.75" customHeight="1">
      <c r="A4" s="1146" t="str">
        <f>"Cost of Service Formula Rate Using Actual/Projected FF1 Balances"</f>
        <v>Cost of Service Formula Rate Using Actual/Projected FF1 Balances</v>
      </c>
      <c r="B4" s="1146"/>
      <c r="C4" s="1146"/>
      <c r="D4" s="1146"/>
      <c r="E4" s="1146"/>
      <c r="F4" s="1183"/>
      <c r="G4" s="1183"/>
      <c r="H4" s="1146"/>
      <c r="I4" s="1146"/>
      <c r="J4" s="1146"/>
      <c r="K4" s="1146"/>
      <c r="L4" s="1146"/>
      <c r="M4" s="1183"/>
    </row>
    <row r="5" spans="1:20" ht="18.75" customHeight="1">
      <c r="A5" s="1147" t="s">
        <v>254</v>
      </c>
      <c r="B5" s="1147"/>
      <c r="C5" s="1147"/>
      <c r="D5" s="1147"/>
      <c r="E5" s="1147"/>
      <c r="F5" s="1183"/>
      <c r="G5" s="1183"/>
    </row>
    <row r="6" spans="1:20" ht="18" customHeight="1">
      <c r="A6" s="1185" t="str">
        <f>+TCOS!F9</f>
        <v>AEP Kentucky Transmission Company</v>
      </c>
      <c r="B6" s="1185"/>
      <c r="C6" s="1185"/>
      <c r="D6" s="1185"/>
      <c r="E6" s="1185"/>
      <c r="F6" s="1127"/>
      <c r="G6" s="1127"/>
      <c r="H6" s="106"/>
      <c r="I6" s="106"/>
      <c r="J6" s="106"/>
      <c r="K6" s="106"/>
      <c r="L6" s="106"/>
      <c r="M6" s="106"/>
    </row>
    <row r="7" spans="1:20" ht="18" customHeight="1">
      <c r="A7" s="67"/>
      <c r="B7" s="67"/>
      <c r="C7" s="67"/>
      <c r="D7" s="67"/>
      <c r="E7" s="67"/>
      <c r="F7" s="67"/>
    </row>
    <row r="8" spans="1:20" ht="19.5" customHeight="1">
      <c r="A8" s="52"/>
      <c r="B8" s="51"/>
      <c r="C8" s="15" t="s">
        <v>462</v>
      </c>
      <c r="E8" s="15" t="s">
        <v>463</v>
      </c>
      <c r="F8" s="15" t="s">
        <v>464</v>
      </c>
      <c r="G8" s="15" t="s">
        <v>465</v>
      </c>
    </row>
    <row r="9" spans="1:20" ht="18">
      <c r="A9" s="80"/>
      <c r="B9" s="81"/>
      <c r="C9" s="81"/>
      <c r="D9" s="81"/>
      <c r="E9"/>
      <c r="F9"/>
      <c r="G9" s="17"/>
      <c r="H9" s="17"/>
      <c r="I9" s="17"/>
      <c r="J9" s="17"/>
      <c r="K9" s="17"/>
      <c r="L9" s="17"/>
      <c r="M9" s="17"/>
      <c r="N9" s="17"/>
      <c r="O9" s="17"/>
      <c r="P9" s="17"/>
      <c r="Q9" s="17"/>
      <c r="R9" s="17"/>
      <c r="S9" s="17"/>
      <c r="T9" s="17"/>
    </row>
    <row r="10" spans="1:20" ht="18">
      <c r="A10" s="80" t="s">
        <v>469</v>
      </c>
      <c r="B10" s="81"/>
      <c r="C10" s="81"/>
      <c r="D10" s="81"/>
      <c r="E10" s="82" t="s">
        <v>420</v>
      </c>
      <c r="F10" s="80" t="s">
        <v>2</v>
      </c>
    </row>
    <row r="11" spans="1:20" ht="18">
      <c r="A11" s="83" t="s">
        <v>419</v>
      </c>
      <c r="B11" s="99"/>
      <c r="C11" s="83" t="s">
        <v>268</v>
      </c>
      <c r="D11" s="99"/>
      <c r="E11" s="84" t="s">
        <v>483</v>
      </c>
      <c r="F11" s="83" t="s">
        <v>3</v>
      </c>
      <c r="G11" s="84" t="s">
        <v>4</v>
      </c>
    </row>
    <row r="12" spans="1:20" ht="18">
      <c r="A12" s="52"/>
      <c r="B12" s="51"/>
      <c r="C12" s="49"/>
      <c r="D12" s="49"/>
      <c r="E12" s="49"/>
      <c r="F12" s="80"/>
      <c r="G12" s="82"/>
    </row>
    <row r="13" spans="1:20" ht="19.5">
      <c r="A13" s="52">
        <v>1</v>
      </c>
      <c r="B13" s="51"/>
      <c r="C13" s="53" t="s">
        <v>126</v>
      </c>
      <c r="D13" s="51"/>
      <c r="E13" s="48"/>
      <c r="F13" s="51"/>
    </row>
    <row r="14" spans="1:20" ht="19.5">
      <c r="A14" s="52">
        <f>+A13+1</f>
        <v>2</v>
      </c>
      <c r="B14" s="51"/>
      <c r="C14" s="48" t="s">
        <v>111</v>
      </c>
      <c r="D14" s="51"/>
      <c r="E14" s="66">
        <f>SUM(F15:F21)</f>
        <v>0</v>
      </c>
      <c r="F14" s="48"/>
    </row>
    <row r="15" spans="1:20" ht="19.5">
      <c r="A15" s="52"/>
      <c r="B15" s="51"/>
      <c r="C15" s="48"/>
      <c r="D15" s="51"/>
      <c r="E15" s="100"/>
      <c r="F15" s="450"/>
      <c r="G15" s="101" t="s">
        <v>416</v>
      </c>
    </row>
    <row r="16" spans="1:20" ht="19.5">
      <c r="A16" s="52"/>
      <c r="B16" s="51"/>
      <c r="C16" s="48"/>
      <c r="D16" s="51"/>
      <c r="E16" s="100"/>
      <c r="F16" s="450"/>
      <c r="G16" s="101" t="s">
        <v>416</v>
      </c>
    </row>
    <row r="17" spans="1:9" ht="19.5">
      <c r="A17" s="52"/>
      <c r="B17" s="51"/>
      <c r="C17" s="48"/>
      <c r="D17" s="51"/>
      <c r="E17" s="100"/>
      <c r="F17" s="450"/>
      <c r="G17" s="101" t="s">
        <v>416</v>
      </c>
    </row>
    <row r="18" spans="1:9" ht="19.5">
      <c r="A18" s="785"/>
      <c r="B18" s="749"/>
      <c r="C18" s="747"/>
      <c r="D18" s="749"/>
      <c r="E18" s="746"/>
      <c r="F18" s="977"/>
      <c r="G18" s="745"/>
      <c r="H18" s="748"/>
      <c r="I18" s="748"/>
    </row>
    <row r="19" spans="1:9" ht="18">
      <c r="A19" s="52"/>
      <c r="B19" s="51"/>
      <c r="C19" s="919" t="s">
        <v>462</v>
      </c>
      <c r="D19" s="919" t="s">
        <v>463</v>
      </c>
      <c r="E19" s="919" t="s">
        <v>464</v>
      </c>
      <c r="F19" s="919" t="s">
        <v>465</v>
      </c>
      <c r="G19" s="919" t="s">
        <v>385</v>
      </c>
      <c r="H19" s="920" t="s">
        <v>386</v>
      </c>
      <c r="I19" s="919" t="s">
        <v>387</v>
      </c>
    </row>
    <row r="20" spans="1:9" ht="47.25">
      <c r="A20" s="52"/>
      <c r="B20" s="51"/>
      <c r="C20" s="921" t="s">
        <v>697</v>
      </c>
      <c r="D20" s="922" t="s">
        <v>693</v>
      </c>
      <c r="E20" s="922" t="s">
        <v>694</v>
      </c>
      <c r="F20" s="922" t="s">
        <v>695</v>
      </c>
      <c r="G20" s="922" t="s">
        <v>4</v>
      </c>
      <c r="H20" s="923" t="s">
        <v>696</v>
      </c>
      <c r="I20" s="923" t="s">
        <v>698</v>
      </c>
    </row>
    <row r="21" spans="1:9" ht="19.5">
      <c r="A21" s="52"/>
      <c r="B21" s="51"/>
      <c r="C21" s="48"/>
      <c r="D21" s="51"/>
      <c r="E21" s="66"/>
      <c r="F21" s="751"/>
    </row>
    <row r="22" spans="1:9" ht="58.5">
      <c r="A22" s="52">
        <f>+A14+1</f>
        <v>3</v>
      </c>
      <c r="B22" s="51"/>
      <c r="C22" s="918" t="str">
        <f>"Real Estate and Personal Property Taxes Total
 (Ln "&amp;A23&amp;" + Ln "&amp;A30 &amp;" + Ln "&amp;A37&amp;" + Ln "&amp;A40&amp;")"</f>
        <v>Real Estate and Personal Property Taxes Total
 (Ln 4 + Ln 5 + Ln 6 + Ln 7)</v>
      </c>
      <c r="D22" s="51"/>
      <c r="E22" s="786">
        <f>E23+E30+E37+E40</f>
        <v>1304554.05</v>
      </c>
      <c r="F22" s="66"/>
      <c r="G22" s="48"/>
      <c r="I22" s="786">
        <f>I23+I30+I37+I40</f>
        <v>1304554.05</v>
      </c>
    </row>
    <row r="23" spans="1:9" ht="19.5">
      <c r="A23" s="52">
        <f>+A22+1</f>
        <v>4</v>
      </c>
      <c r="B23" s="51"/>
      <c r="C23" s="51" t="s">
        <v>840</v>
      </c>
      <c r="D23" s="51"/>
      <c r="E23" s="66">
        <f>SUM(F24:F29)</f>
        <v>1304554.05</v>
      </c>
      <c r="F23" s="100"/>
      <c r="G23" s="48"/>
      <c r="I23" s="66">
        <f>SUM(I24:I29)</f>
        <v>1304554.05</v>
      </c>
    </row>
    <row r="24" spans="1:9" ht="19.5">
      <c r="A24" s="52"/>
      <c r="B24" s="51"/>
      <c r="C24" s="51"/>
      <c r="D24" s="52">
        <v>2022</v>
      </c>
      <c r="E24" s="66"/>
      <c r="F24" s="450">
        <v>-72745.95</v>
      </c>
      <c r="G24" s="753"/>
      <c r="H24" s="976">
        <v>1</v>
      </c>
      <c r="I24" s="751">
        <f t="shared" ref="I24:I29" si="0">F24*H24</f>
        <v>-72745.95</v>
      </c>
    </row>
    <row r="25" spans="1:9" ht="19.5">
      <c r="A25" s="52"/>
      <c r="B25" s="51"/>
      <c r="C25" s="51"/>
      <c r="D25" s="52">
        <v>2023</v>
      </c>
      <c r="E25" s="66"/>
      <c r="F25" s="450">
        <v>0</v>
      </c>
      <c r="G25" s="753"/>
      <c r="H25" s="976">
        <v>1</v>
      </c>
      <c r="I25" s="751">
        <f>F25*H25</f>
        <v>0</v>
      </c>
    </row>
    <row r="26" spans="1:9" ht="19.5">
      <c r="A26" s="52"/>
      <c r="B26" s="51"/>
      <c r="C26" s="51"/>
      <c r="D26" s="52">
        <v>2024</v>
      </c>
      <c r="E26" s="66"/>
      <c r="F26" s="450">
        <v>1377300</v>
      </c>
      <c r="G26" s="753"/>
      <c r="H26" s="976">
        <v>1</v>
      </c>
      <c r="I26" s="751">
        <f>F26*H26</f>
        <v>1377300</v>
      </c>
    </row>
    <row r="27" spans="1:9" ht="19.5">
      <c r="A27" s="52"/>
      <c r="B27" s="51"/>
      <c r="C27" s="51"/>
      <c r="D27" s="52">
        <v>2025</v>
      </c>
      <c r="E27" s="66"/>
      <c r="F27" s="450">
        <v>0</v>
      </c>
      <c r="G27" s="753"/>
      <c r="H27" s="976">
        <v>1</v>
      </c>
      <c r="I27" s="751">
        <f t="shared" si="0"/>
        <v>0</v>
      </c>
    </row>
    <row r="28" spans="1:9" ht="19.5">
      <c r="A28" s="52"/>
      <c r="B28" s="51"/>
      <c r="C28" s="51"/>
      <c r="D28" s="51"/>
      <c r="E28" s="66"/>
      <c r="F28" s="450"/>
      <c r="G28" s="753"/>
      <c r="H28" s="450"/>
      <c r="I28" s="751">
        <f t="shared" si="0"/>
        <v>0</v>
      </c>
    </row>
    <row r="29" spans="1:9" ht="19.5">
      <c r="A29" s="52"/>
      <c r="B29" s="51"/>
      <c r="C29" s="51"/>
      <c r="D29" s="51"/>
      <c r="E29" s="66"/>
      <c r="F29" s="450"/>
      <c r="G29" s="753"/>
      <c r="H29" s="450"/>
      <c r="I29" s="751">
        <f t="shared" si="0"/>
        <v>0</v>
      </c>
    </row>
    <row r="30" spans="1:9" ht="19.5">
      <c r="A30" s="52">
        <f>+A23+1</f>
        <v>5</v>
      </c>
      <c r="B30" s="51"/>
      <c r="C30" s="51" t="s">
        <v>841</v>
      </c>
      <c r="D30" s="51"/>
      <c r="E30" s="66">
        <f>SUM(F31:F36)</f>
        <v>0</v>
      </c>
      <c r="F30" s="66"/>
      <c r="G30" s="48"/>
      <c r="I30" s="444">
        <f>SUM(I31:I36)</f>
        <v>0</v>
      </c>
    </row>
    <row r="31" spans="1:9" ht="19.5">
      <c r="A31" s="52"/>
      <c r="B31" s="51"/>
      <c r="C31" s="51"/>
      <c r="D31" s="51"/>
      <c r="E31" s="66"/>
      <c r="F31" s="450">
        <v>0</v>
      </c>
      <c r="G31" s="753"/>
      <c r="H31" s="752"/>
      <c r="I31" s="751">
        <f t="shared" ref="I31:I36" si="1">F31*H31</f>
        <v>0</v>
      </c>
    </row>
    <row r="32" spans="1:9" ht="19.5">
      <c r="A32" s="52"/>
      <c r="B32" s="51"/>
      <c r="C32" s="51"/>
      <c r="D32" s="51"/>
      <c r="E32" s="66"/>
      <c r="F32" s="450"/>
      <c r="G32" s="753"/>
      <c r="H32" s="450"/>
      <c r="I32" s="751">
        <f t="shared" si="1"/>
        <v>0</v>
      </c>
    </row>
    <row r="33" spans="1:9" ht="19.5">
      <c r="A33" s="52"/>
      <c r="B33" s="51"/>
      <c r="C33" s="51"/>
      <c r="D33" s="51"/>
      <c r="E33" s="66"/>
      <c r="F33" s="450"/>
      <c r="G33" s="753"/>
      <c r="H33" s="450"/>
      <c r="I33" s="751">
        <f t="shared" si="1"/>
        <v>0</v>
      </c>
    </row>
    <row r="34" spans="1:9" ht="19.5">
      <c r="A34" s="52"/>
      <c r="B34" s="51"/>
      <c r="C34" s="51"/>
      <c r="D34" s="51"/>
      <c r="E34" s="66"/>
      <c r="F34" s="450"/>
      <c r="G34" s="753"/>
      <c r="H34" s="450"/>
      <c r="I34" s="751">
        <f t="shared" si="1"/>
        <v>0</v>
      </c>
    </row>
    <row r="35" spans="1:9" ht="19.5">
      <c r="A35" s="52"/>
      <c r="B35" s="51"/>
      <c r="C35" s="51"/>
      <c r="D35" s="51"/>
      <c r="E35" s="66"/>
      <c r="F35" s="450"/>
      <c r="G35" s="753"/>
      <c r="H35" s="450"/>
      <c r="I35" s="751">
        <f t="shared" si="1"/>
        <v>0</v>
      </c>
    </row>
    <row r="36" spans="1:9" ht="19.5">
      <c r="A36" s="52"/>
      <c r="B36" s="51"/>
      <c r="C36" s="51"/>
      <c r="D36" s="51"/>
      <c r="E36" s="66"/>
      <c r="F36" s="450"/>
      <c r="G36" s="753"/>
      <c r="H36" s="450"/>
      <c r="I36" s="751">
        <f t="shared" si="1"/>
        <v>0</v>
      </c>
    </row>
    <row r="37" spans="1:9" ht="19.5">
      <c r="A37" s="52">
        <f>+A30+1</f>
        <v>6</v>
      </c>
      <c r="B37" s="51"/>
      <c r="C37" s="51" t="s">
        <v>841</v>
      </c>
      <c r="D37" s="51"/>
      <c r="E37" s="66">
        <f>+F38+F39</f>
        <v>0</v>
      </c>
      <c r="F37" s="48"/>
      <c r="I37" s="444">
        <f>SUM(I38:I39)</f>
        <v>0</v>
      </c>
    </row>
    <row r="38" spans="1:9" ht="19.5">
      <c r="A38" s="52"/>
      <c r="B38" s="51"/>
      <c r="C38" s="51"/>
      <c r="D38" s="51"/>
      <c r="E38" s="66"/>
      <c r="F38" s="450"/>
      <c r="G38" s="753"/>
      <c r="H38" s="752"/>
      <c r="I38" s="751">
        <f>F38*H38</f>
        <v>0</v>
      </c>
    </row>
    <row r="39" spans="1:9" ht="19.5">
      <c r="A39" s="52"/>
      <c r="B39" s="51"/>
      <c r="C39" s="51"/>
      <c r="D39" s="51"/>
      <c r="E39" s="66"/>
      <c r="F39" s="450"/>
      <c r="G39" s="753"/>
      <c r="H39" s="450"/>
      <c r="I39" s="751">
        <f>F39*H39</f>
        <v>0</v>
      </c>
    </row>
    <row r="40" spans="1:9" ht="19.5">
      <c r="A40" s="52">
        <f>+A37+1</f>
        <v>7</v>
      </c>
      <c r="B40" s="51"/>
      <c r="C40" s="51" t="s">
        <v>251</v>
      </c>
      <c r="D40" s="89"/>
      <c r="E40" s="66">
        <f>+F41</f>
        <v>0</v>
      </c>
      <c r="F40" s="51"/>
      <c r="I40" s="444">
        <f>SUM(I41)</f>
        <v>0</v>
      </c>
    </row>
    <row r="41" spans="1:9" ht="19.5">
      <c r="A41" s="52"/>
      <c r="B41" s="51"/>
      <c r="C41" s="51"/>
      <c r="D41" s="89"/>
      <c r="E41" s="66"/>
      <c r="F41" s="450"/>
      <c r="G41" s="753"/>
      <c r="H41" s="450"/>
      <c r="I41" s="751">
        <f>F41*H41</f>
        <v>0</v>
      </c>
    </row>
    <row r="42" spans="1:9" ht="19.5">
      <c r="A42" s="785"/>
      <c r="B42" s="749"/>
      <c r="C42" s="749"/>
      <c r="D42" s="750"/>
      <c r="E42" s="786"/>
      <c r="F42" s="749"/>
      <c r="G42" s="748"/>
      <c r="H42" s="748"/>
      <c r="I42" s="748"/>
    </row>
    <row r="43" spans="1:9" ht="23.25" customHeight="1">
      <c r="A43" s="52"/>
      <c r="B43" s="51"/>
      <c r="C43" s="51"/>
      <c r="D43" s="89"/>
      <c r="E43" s="66"/>
      <c r="F43" s="51"/>
    </row>
    <row r="44" spans="1:9" ht="18">
      <c r="A44" s="52"/>
      <c r="B44" s="51"/>
      <c r="C44" s="15" t="s">
        <v>462</v>
      </c>
      <c r="E44" s="15" t="s">
        <v>463</v>
      </c>
      <c r="F44" s="15" t="s">
        <v>464</v>
      </c>
      <c r="G44" s="15" t="s">
        <v>465</v>
      </c>
    </row>
    <row r="45" spans="1:9" ht="18">
      <c r="A45" s="80"/>
      <c r="B45" s="81"/>
      <c r="C45" s="81"/>
      <c r="D45" s="81"/>
      <c r="E45"/>
      <c r="F45"/>
      <c r="G45" s="17"/>
    </row>
    <row r="46" spans="1:9" ht="18">
      <c r="A46" s="80" t="s">
        <v>469</v>
      </c>
      <c r="B46" s="81"/>
      <c r="C46" s="81"/>
      <c r="D46" s="81"/>
      <c r="E46" s="82" t="s">
        <v>420</v>
      </c>
      <c r="F46" s="80" t="s">
        <v>2</v>
      </c>
    </row>
    <row r="47" spans="1:9" ht="18">
      <c r="A47" s="83" t="s">
        <v>419</v>
      </c>
      <c r="B47" s="99"/>
      <c r="C47" s="83" t="s">
        <v>268</v>
      </c>
      <c r="D47" s="99"/>
      <c r="E47" s="84" t="s">
        <v>483</v>
      </c>
      <c r="F47" s="83" t="s">
        <v>3</v>
      </c>
      <c r="G47" s="84" t="s">
        <v>4</v>
      </c>
    </row>
    <row r="48" spans="1:9" ht="19.5">
      <c r="A48" s="52"/>
      <c r="B48" s="51"/>
      <c r="C48" s="54"/>
      <c r="D48" s="51"/>
      <c r="E48" s="48"/>
    </row>
    <row r="49" spans="1:7" ht="19.5">
      <c r="A49" s="52">
        <f>+A40+1</f>
        <v>8</v>
      </c>
      <c r="B49" s="51"/>
      <c r="C49" s="53" t="s">
        <v>128</v>
      </c>
      <c r="D49" s="51"/>
      <c r="E49" s="48"/>
      <c r="F49" s="102"/>
      <c r="G49" s="48"/>
    </row>
    <row r="50" spans="1:7" ht="19.5">
      <c r="A50" s="52">
        <f>+A49+1</f>
        <v>9</v>
      </c>
      <c r="B50" s="51"/>
      <c r="C50" s="51" t="s">
        <v>124</v>
      </c>
      <c r="D50" s="51"/>
      <c r="E50" s="66">
        <f>+F51</f>
        <v>0</v>
      </c>
      <c r="F50" s="48"/>
      <c r="G50" s="48"/>
    </row>
    <row r="51" spans="1:7" ht="19.5">
      <c r="A51" s="52"/>
      <c r="B51" s="51"/>
      <c r="C51" s="51"/>
      <c r="D51" s="51"/>
      <c r="E51" s="66"/>
      <c r="F51" s="450"/>
      <c r="G51" s="101" t="s">
        <v>416</v>
      </c>
    </row>
    <row r="52" spans="1:7" ht="19.5">
      <c r="A52" s="52">
        <f>+A50+1</f>
        <v>10</v>
      </c>
      <c r="B52" s="51"/>
      <c r="C52" s="51" t="s">
        <v>117</v>
      </c>
      <c r="D52" s="51"/>
      <c r="E52" s="66">
        <f>+F53</f>
        <v>0</v>
      </c>
      <c r="F52" s="48"/>
      <c r="G52" s="48"/>
    </row>
    <row r="53" spans="1:7" ht="19.5">
      <c r="A53" s="52"/>
      <c r="B53" s="51"/>
      <c r="C53" s="51"/>
      <c r="D53" s="51"/>
      <c r="E53" s="66"/>
      <c r="F53" s="450"/>
      <c r="G53" s="101" t="s">
        <v>416</v>
      </c>
    </row>
    <row r="54" spans="1:7" ht="19.5">
      <c r="A54" s="52">
        <f>+A52+1</f>
        <v>11</v>
      </c>
      <c r="B54" s="51"/>
      <c r="C54" s="51" t="s">
        <v>118</v>
      </c>
      <c r="D54" s="51"/>
      <c r="E54" s="66">
        <f>+F55+F56+F57</f>
        <v>0</v>
      </c>
      <c r="F54" s="48"/>
      <c r="G54" s="48"/>
    </row>
    <row r="55" spans="1:7" ht="19.5">
      <c r="A55" s="52" t="s">
        <v>416</v>
      </c>
      <c r="B55" s="51"/>
      <c r="C55" s="48"/>
      <c r="D55" s="51"/>
      <c r="E55" s="48"/>
      <c r="F55" s="450"/>
      <c r="G55" s="101" t="s">
        <v>416</v>
      </c>
    </row>
    <row r="56" spans="1:7" ht="19.5">
      <c r="A56" s="52"/>
      <c r="B56" s="51"/>
      <c r="C56" s="48"/>
      <c r="D56" s="51"/>
      <c r="E56" s="48"/>
      <c r="F56" s="450"/>
      <c r="G56" s="101" t="s">
        <v>416</v>
      </c>
    </row>
    <row r="57" spans="1:7" ht="19.5">
      <c r="A57" s="52"/>
      <c r="B57" s="51"/>
      <c r="C57" s="48"/>
      <c r="D57" s="51"/>
      <c r="E57" s="48"/>
      <c r="F57" s="450"/>
      <c r="G57" s="101" t="s">
        <v>416</v>
      </c>
    </row>
    <row r="58" spans="1:7" ht="19.5">
      <c r="A58" s="52">
        <f>A54+1</f>
        <v>12</v>
      </c>
      <c r="B58" s="51"/>
      <c r="C58" s="108" t="s">
        <v>323</v>
      </c>
      <c r="D58" s="51"/>
      <c r="E58" s="107"/>
      <c r="F58" s="48"/>
      <c r="G58" s="48" t="s">
        <v>416</v>
      </c>
    </row>
    <row r="59" spans="1:7" ht="19.5">
      <c r="A59" s="52">
        <f>A58+1</f>
        <v>13</v>
      </c>
      <c r="B59" s="51"/>
      <c r="C59" s="48" t="s">
        <v>222</v>
      </c>
      <c r="D59" s="89"/>
      <c r="E59" s="66">
        <f>+F60</f>
        <v>0</v>
      </c>
      <c r="G59" s="48"/>
    </row>
    <row r="60" spans="1:7" ht="19.5">
      <c r="A60" s="52"/>
      <c r="B60" s="51"/>
      <c r="C60" s="48"/>
      <c r="D60" s="51"/>
      <c r="E60" s="48"/>
      <c r="F60" s="450"/>
      <c r="G60" s="48"/>
    </row>
    <row r="61" spans="1:7" ht="19.5">
      <c r="A61" s="56">
        <f>A59+1</f>
        <v>14</v>
      </c>
      <c r="B61" s="57"/>
      <c r="C61" s="53" t="s">
        <v>125</v>
      </c>
      <c r="D61" s="58"/>
      <c r="E61" s="48"/>
      <c r="F61" s="100"/>
      <c r="G61" s="48"/>
    </row>
    <row r="62" spans="1:7" ht="19.5">
      <c r="A62" s="56">
        <f>A61+1</f>
        <v>15</v>
      </c>
      <c r="B62" s="57"/>
      <c r="C62" s="48" t="s">
        <v>221</v>
      </c>
      <c r="D62" s="58"/>
      <c r="E62" s="66">
        <f>+F63+F64</f>
        <v>0</v>
      </c>
      <c r="F62" s="48"/>
      <c r="G62" s="48"/>
    </row>
    <row r="63" spans="1:7" ht="19.5">
      <c r="A63" s="56"/>
      <c r="B63" s="57"/>
      <c r="C63" s="48"/>
      <c r="D63" s="58"/>
      <c r="E63" s="66"/>
      <c r="F63" s="450"/>
      <c r="G63" s="101" t="s">
        <v>416</v>
      </c>
    </row>
    <row r="64" spans="1:7" ht="19.5">
      <c r="A64" s="56"/>
      <c r="B64" s="57"/>
      <c r="C64" s="48"/>
      <c r="D64" s="58"/>
      <c r="E64" s="66"/>
      <c r="F64" s="450"/>
      <c r="G64" s="101" t="s">
        <v>416</v>
      </c>
    </row>
    <row r="65" spans="1:7" ht="19.5">
      <c r="A65" s="52">
        <f>A62+1</f>
        <v>16</v>
      </c>
      <c r="B65" s="51"/>
      <c r="C65" s="48" t="s">
        <v>119</v>
      </c>
      <c r="D65" s="51"/>
      <c r="E65" s="66">
        <f>+F66+F67+F68</f>
        <v>0</v>
      </c>
      <c r="F65" s="48"/>
      <c r="G65" s="48"/>
    </row>
    <row r="66" spans="1:7" ht="19.5">
      <c r="A66" s="52"/>
      <c r="B66" s="51"/>
      <c r="C66" s="48"/>
      <c r="D66" s="51"/>
      <c r="E66" s="66"/>
      <c r="F66" s="450"/>
      <c r="G66" s="101" t="s">
        <v>416</v>
      </c>
    </row>
    <row r="67" spans="1:7" ht="19.5">
      <c r="A67" s="52"/>
      <c r="B67" s="51"/>
      <c r="C67" s="48"/>
      <c r="D67" s="51"/>
      <c r="E67" s="66"/>
      <c r="F67" s="450"/>
      <c r="G67" s="101" t="s">
        <v>416</v>
      </c>
    </row>
    <row r="68" spans="1:7" ht="19.5">
      <c r="A68" s="52"/>
      <c r="B68" s="51"/>
      <c r="C68" s="48"/>
      <c r="D68" s="51"/>
      <c r="E68" s="66"/>
      <c r="F68" s="450"/>
      <c r="G68" s="101" t="s">
        <v>416</v>
      </c>
    </row>
    <row r="69" spans="1:7" ht="19.5">
      <c r="A69" s="52">
        <f>+A65+1</f>
        <v>17</v>
      </c>
      <c r="B69" s="51"/>
      <c r="C69" s="48" t="s">
        <v>120</v>
      </c>
      <c r="D69"/>
      <c r="E69" s="66">
        <f>SUM(F70:F80)</f>
        <v>0</v>
      </c>
      <c r="F69" s="48"/>
      <c r="G69" s="48"/>
    </row>
    <row r="70" spans="1:7" ht="19.5">
      <c r="A70" s="52"/>
      <c r="B70" s="51"/>
      <c r="C70" s="48"/>
      <c r="D70" s="52"/>
      <c r="E70" s="66"/>
      <c r="F70" s="450"/>
      <c r="G70" s="101"/>
    </row>
    <row r="71" spans="1:7" ht="19.5">
      <c r="A71" s="52"/>
      <c r="B71" s="51"/>
      <c r="C71" s="48"/>
      <c r="D71" s="52"/>
      <c r="E71" s="66"/>
      <c r="F71" s="450"/>
      <c r="G71" s="101"/>
    </row>
    <row r="72" spans="1:7" ht="19.5">
      <c r="A72" s="52"/>
      <c r="B72" s="51"/>
      <c r="C72" s="48"/>
      <c r="D72" s="52"/>
      <c r="E72" s="66"/>
      <c r="F72" s="450"/>
      <c r="G72" s="101"/>
    </row>
    <row r="73" spans="1:7" ht="19.5">
      <c r="A73" s="52"/>
      <c r="B73" s="51"/>
      <c r="C73" s="48"/>
      <c r="D73"/>
      <c r="E73" s="66"/>
      <c r="F73" s="450"/>
      <c r="G73" s="101" t="s">
        <v>416</v>
      </c>
    </row>
    <row r="74" spans="1:7" ht="19.5">
      <c r="A74" s="52"/>
      <c r="B74" s="51"/>
      <c r="C74" s="48"/>
      <c r="D74"/>
      <c r="E74" s="66"/>
      <c r="F74" s="450"/>
      <c r="G74" s="101" t="s">
        <v>416</v>
      </c>
    </row>
    <row r="75" spans="1:7" ht="19.5">
      <c r="A75" s="52"/>
      <c r="B75" s="51"/>
      <c r="C75" s="48"/>
      <c r="D75"/>
      <c r="E75" s="66"/>
      <c r="F75" s="450"/>
      <c r="G75" s="101" t="s">
        <v>416</v>
      </c>
    </row>
    <row r="76" spans="1:7" ht="19.5">
      <c r="A76" s="52"/>
      <c r="B76" s="51"/>
      <c r="C76" s="48"/>
      <c r="D76"/>
      <c r="E76" s="66"/>
      <c r="F76" s="450"/>
      <c r="G76" s="101" t="s">
        <v>416</v>
      </c>
    </row>
    <row r="77" spans="1:7" ht="19.5">
      <c r="A77" s="52"/>
      <c r="B77" s="51"/>
      <c r="C77" s="48"/>
      <c r="D77"/>
      <c r="E77" s="66"/>
      <c r="F77" s="450"/>
      <c r="G77" s="101" t="s">
        <v>416</v>
      </c>
    </row>
    <row r="78" spans="1:7" ht="19.5">
      <c r="A78" s="52"/>
      <c r="B78" s="51"/>
      <c r="C78" s="48"/>
      <c r="D78"/>
      <c r="E78" s="66"/>
      <c r="F78" s="450"/>
      <c r="G78" s="101" t="s">
        <v>416</v>
      </c>
    </row>
    <row r="79" spans="1:7" ht="19.5">
      <c r="A79" s="52"/>
      <c r="B79" s="51"/>
      <c r="C79" s="48"/>
      <c r="D79"/>
      <c r="E79" s="66"/>
      <c r="F79" s="450"/>
      <c r="G79" s="101" t="s">
        <v>416</v>
      </c>
    </row>
    <row r="80" spans="1:7" ht="19.5">
      <c r="A80" s="52"/>
      <c r="B80" s="51"/>
      <c r="C80" s="48"/>
      <c r="D80"/>
      <c r="E80" s="66"/>
      <c r="F80" s="450"/>
      <c r="G80" s="101" t="s">
        <v>416</v>
      </c>
    </row>
    <row r="81" spans="1:7" ht="19.5">
      <c r="A81" s="52">
        <f>+A69+1</f>
        <v>18</v>
      </c>
      <c r="B81" s="51"/>
      <c r="C81" s="48" t="s">
        <v>121</v>
      </c>
      <c r="D81"/>
      <c r="E81" s="66">
        <f>SUM(F82:F85)</f>
        <v>0</v>
      </c>
      <c r="F81" s="48"/>
      <c r="G81" s="48"/>
    </row>
    <row r="82" spans="1:7" ht="19.5">
      <c r="A82" s="52"/>
      <c r="B82" s="51"/>
      <c r="C82" s="48"/>
      <c r="D82"/>
      <c r="E82" s="66"/>
      <c r="F82" s="450"/>
      <c r="G82" s="101"/>
    </row>
    <row r="83" spans="1:7" ht="19.5">
      <c r="A83" s="52"/>
      <c r="B83" s="51"/>
      <c r="C83" s="48"/>
      <c r="D83"/>
      <c r="E83" s="66"/>
      <c r="F83" s="450"/>
      <c r="G83" s="101" t="s">
        <v>416</v>
      </c>
    </row>
    <row r="84" spans="1:7" ht="19.5">
      <c r="A84" s="52"/>
      <c r="B84" s="51"/>
      <c r="C84" s="48"/>
      <c r="D84"/>
      <c r="E84" s="66"/>
      <c r="F84" s="450"/>
      <c r="G84" s="101" t="s">
        <v>416</v>
      </c>
    </row>
    <row r="85" spans="1:7" ht="19.5">
      <c r="A85" s="52"/>
      <c r="B85" s="51"/>
      <c r="C85" s="48"/>
      <c r="D85"/>
      <c r="E85" s="66"/>
      <c r="F85" s="450"/>
      <c r="G85" s="101" t="s">
        <v>416</v>
      </c>
    </row>
    <row r="86" spans="1:7" ht="19.5">
      <c r="A86" s="52">
        <f>+A81+1</f>
        <v>19</v>
      </c>
      <c r="B86" s="51"/>
      <c r="C86" s="48" t="s">
        <v>122</v>
      </c>
      <c r="D86" s="51"/>
      <c r="E86" s="66">
        <f>F87</f>
        <v>0</v>
      </c>
      <c r="F86" s="48"/>
      <c r="G86" s="48"/>
    </row>
    <row r="87" spans="1:7" ht="19.5">
      <c r="A87" s="52"/>
      <c r="B87" s="51"/>
      <c r="C87" s="48"/>
      <c r="D87" s="51"/>
      <c r="E87" s="66"/>
      <c r="F87" s="450"/>
      <c r="G87" s="101" t="s">
        <v>416</v>
      </c>
    </row>
    <row r="88" spans="1:7" ht="19.5">
      <c r="A88" s="52"/>
      <c r="B88" s="51"/>
      <c r="C88" s="48"/>
      <c r="D88" s="51"/>
      <c r="E88" s="66"/>
      <c r="F88" s="124"/>
      <c r="G88" s="48"/>
    </row>
    <row r="89" spans="1:7" ht="19.5">
      <c r="A89" s="52">
        <f>+A86+1</f>
        <v>20</v>
      </c>
      <c r="B89" s="51"/>
      <c r="C89" s="48" t="s">
        <v>123</v>
      </c>
      <c r="D89" s="51"/>
      <c r="E89" s="66">
        <f>SUM(F90:F94)</f>
        <v>0</v>
      </c>
      <c r="F89" s="48"/>
      <c r="G89" s="101" t="s">
        <v>416</v>
      </c>
    </row>
    <row r="90" spans="1:7" ht="19.5">
      <c r="A90" s="52"/>
      <c r="B90" s="51"/>
      <c r="C90" s="48"/>
      <c r="D90" s="52"/>
      <c r="E90" s="66"/>
      <c r="F90" s="450"/>
      <c r="G90" s="1068"/>
    </row>
    <row r="91" spans="1:7" ht="19.5">
      <c r="A91" s="52"/>
      <c r="B91" s="51"/>
      <c r="C91" s="48"/>
      <c r="D91" s="52"/>
      <c r="E91" s="66"/>
      <c r="F91" s="450"/>
      <c r="G91" s="101"/>
    </row>
    <row r="92" spans="1:7" ht="19.5">
      <c r="A92" s="52"/>
      <c r="B92" s="51"/>
      <c r="C92" s="48"/>
      <c r="D92" s="51"/>
      <c r="E92" s="66"/>
      <c r="F92" s="450"/>
      <c r="G92" s="101" t="s">
        <v>416</v>
      </c>
    </row>
    <row r="93" spans="1:7" ht="19.5">
      <c r="A93" s="52"/>
      <c r="B93" s="51"/>
      <c r="C93" s="48"/>
      <c r="D93" s="51"/>
      <c r="E93" s="66"/>
      <c r="F93" s="450"/>
      <c r="G93" s="101" t="s">
        <v>416</v>
      </c>
    </row>
    <row r="94" spans="1:7" ht="19.5">
      <c r="A94" s="52"/>
      <c r="B94" s="51"/>
      <c r="C94" s="48"/>
      <c r="D94" s="51"/>
      <c r="E94" s="66"/>
      <c r="F94" s="450"/>
      <c r="G94" s="101" t="s">
        <v>416</v>
      </c>
    </row>
    <row r="95" spans="1:7" ht="19.5">
      <c r="A95" s="52">
        <f>+A89+1</f>
        <v>21</v>
      </c>
      <c r="B95" s="48"/>
      <c r="C95" s="48" t="s">
        <v>112</v>
      </c>
      <c r="D95" s="48"/>
      <c r="E95" s="66">
        <f>SUM(F96:F97)</f>
        <v>0</v>
      </c>
      <c r="F95" s="100"/>
      <c r="G95" s="101" t="s">
        <v>416</v>
      </c>
    </row>
    <row r="96" spans="1:7" ht="19.5">
      <c r="A96" s="52"/>
      <c r="B96" s="48"/>
      <c r="C96" s="48"/>
      <c r="D96" s="48"/>
      <c r="E96" s="50"/>
      <c r="F96" s="450"/>
      <c r="G96" s="101" t="s">
        <v>416</v>
      </c>
    </row>
    <row r="97" spans="1:7" ht="19.5">
      <c r="A97" s="52"/>
      <c r="B97" s="48"/>
      <c r="C97" s="48"/>
      <c r="D97" s="48"/>
      <c r="E97" s="50"/>
      <c r="F97" s="450"/>
      <c r="G97" s="101" t="s">
        <v>416</v>
      </c>
    </row>
    <row r="98" spans="1:7" ht="19.5">
      <c r="A98" s="52">
        <f>+A95+1</f>
        <v>22</v>
      </c>
      <c r="B98" s="48"/>
      <c r="C98" s="61" t="s">
        <v>408</v>
      </c>
      <c r="D98" s="48"/>
      <c r="E98" s="66">
        <f>+F99</f>
        <v>0</v>
      </c>
      <c r="G98" s="48"/>
    </row>
    <row r="99" spans="1:7" ht="19.5">
      <c r="A99" s="52"/>
      <c r="B99" s="48"/>
      <c r="C99" s="61"/>
      <c r="D99" s="48"/>
      <c r="E99" s="48"/>
      <c r="F99" s="450"/>
      <c r="G99" s="48"/>
    </row>
    <row r="100" spans="1:7" ht="19.5">
      <c r="A100" s="3"/>
      <c r="B100" s="98"/>
      <c r="C100" s="98"/>
      <c r="D100"/>
      <c r="E100"/>
      <c r="F100" s="100"/>
      <c r="G100" s="48"/>
    </row>
    <row r="101" spans="1:7" ht="20.25" thickBot="1">
      <c r="A101" s="95">
        <f>+A98+1</f>
        <v>23</v>
      </c>
      <c r="B101" s="98"/>
      <c r="C101" s="48" t="s">
        <v>116</v>
      </c>
      <c r="D101"/>
      <c r="E101" s="60">
        <f>E22+E69+E81+E86+E89</f>
        <v>1304554.05</v>
      </c>
      <c r="F101" s="60">
        <f>SUM(F14:F99)</f>
        <v>1304554.05</v>
      </c>
      <c r="G101" s="48"/>
    </row>
    <row r="102" spans="1:7" ht="20.25" thickTop="1">
      <c r="A102" s="3"/>
      <c r="B102" s="98"/>
      <c r="C102" s="48" t="s">
        <v>181</v>
      </c>
      <c r="D102"/>
      <c r="E102"/>
      <c r="F102" s="48"/>
      <c r="G102" s="48"/>
    </row>
    <row r="103" spans="1:7" ht="19.5">
      <c r="A103" s="3"/>
      <c r="B103" s="98"/>
      <c r="C103" s="48"/>
      <c r="D103"/>
      <c r="E103"/>
      <c r="F103" s="66" t="s">
        <v>416</v>
      </c>
      <c r="G103" s="48"/>
    </row>
    <row r="104" spans="1:7" ht="21.75" customHeight="1">
      <c r="A104" s="1184" t="s">
        <v>772</v>
      </c>
      <c r="B104" s="1184"/>
      <c r="C104" s="1184"/>
      <c r="D104" s="1184"/>
      <c r="E104" s="1184"/>
      <c r="F104" s="1184"/>
      <c r="G104" s="1184"/>
    </row>
    <row r="105" spans="1:7" ht="21.75" customHeight="1">
      <c r="A105" s="1184"/>
      <c r="B105" s="1184"/>
      <c r="C105" s="1184"/>
      <c r="D105" s="1184"/>
      <c r="E105" s="1184"/>
      <c r="F105" s="1184"/>
      <c r="G105" s="1184"/>
    </row>
    <row r="106" spans="1:7" ht="21.75" customHeight="1">
      <c r="A106" s="1184"/>
      <c r="B106" s="1184"/>
      <c r="C106" s="1184"/>
      <c r="D106" s="1184"/>
      <c r="E106" s="1184"/>
      <c r="F106" s="1184"/>
      <c r="G106" s="1184"/>
    </row>
    <row r="107" spans="1:7" ht="21.75" customHeight="1">
      <c r="A107" s="1184"/>
      <c r="B107" s="1184"/>
      <c r="C107" s="1184"/>
      <c r="D107" s="1184"/>
      <c r="E107" s="1184"/>
      <c r="F107" s="1184"/>
      <c r="G107" s="1184"/>
    </row>
    <row r="108" spans="1:7" ht="21.75" customHeight="1">
      <c r="A108" s="1184"/>
      <c r="B108" s="1184"/>
      <c r="C108" s="1184"/>
      <c r="D108" s="1184"/>
      <c r="E108" s="1184"/>
      <c r="F108" s="1184"/>
      <c r="G108" s="1184"/>
    </row>
    <row r="109" spans="1:7" ht="19.5">
      <c r="F109" s="48"/>
      <c r="G109" s="48"/>
    </row>
    <row r="110" spans="1:7" ht="30" customHeight="1">
      <c r="A110" s="1182" t="s">
        <v>699</v>
      </c>
      <c r="B110" s="1182"/>
      <c r="C110" s="1182"/>
      <c r="D110" s="1182"/>
      <c r="E110" s="1182"/>
      <c r="F110" s="1182"/>
      <c r="G110" s="1182"/>
    </row>
    <row r="111" spans="1:7" ht="30" customHeight="1">
      <c r="A111" s="1182"/>
      <c r="B111" s="1182"/>
      <c r="C111" s="1182"/>
      <c r="D111" s="1182"/>
      <c r="E111" s="1182"/>
      <c r="F111" s="1182"/>
      <c r="G111" s="1182"/>
    </row>
    <row r="112" spans="1:7" ht="19.5">
      <c r="F112" s="100"/>
      <c r="G112" s="48"/>
    </row>
    <row r="113" spans="6:7" ht="19.5">
      <c r="F113" s="100"/>
      <c r="G113" s="48"/>
    </row>
    <row r="114" spans="6:7" ht="19.5">
      <c r="F114" s="48"/>
    </row>
    <row r="115" spans="6:7" ht="19.5">
      <c r="F115" s="48"/>
    </row>
    <row r="116" spans="6:7" ht="19.5">
      <c r="F116" s="48"/>
    </row>
    <row r="117" spans="6:7" ht="19.5">
      <c r="F117" s="48"/>
    </row>
  </sheetData>
  <mergeCells count="7">
    <mergeCell ref="A110:G111"/>
    <mergeCell ref="H4:M4"/>
    <mergeCell ref="A104:G108"/>
    <mergeCell ref="A3:G3"/>
    <mergeCell ref="A4:G4"/>
    <mergeCell ref="A5:G5"/>
    <mergeCell ref="A6:G6"/>
  </mergeCells>
  <phoneticPr fontId="71" type="noConversion"/>
  <pageMargins left="0.82" right="1.28" top="0.67" bottom="0.56000000000000005" header="0.75" footer="0.28000000000000003"/>
  <pageSetup scale="30" orientation="portrait" r:id="rId1"/>
  <headerFooter alignWithMargins="0">
    <oddHeader>&amp;R&amp;"Arial,Bold"Formula Rate 
&amp;A
Page &amp;P of &amp;N</oddHeader>
  </headerFooter>
  <colBreaks count="1" manualBreakCount="1">
    <brk id="5" max="111"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M28"/>
  <sheetViews>
    <sheetView tabSelected="1" zoomScaleNormal="100" workbookViewId="0">
      <selection activeCell="B7" sqref="B7"/>
    </sheetView>
  </sheetViews>
  <sheetFormatPr defaultRowHeight="12.75"/>
  <cols>
    <col min="1" max="1" width="4.7109375" customWidth="1"/>
    <col min="3" max="3" width="13.85546875" customWidth="1"/>
    <col min="4" max="4" width="18.85546875" customWidth="1"/>
    <col min="5" max="5" width="13.140625" customWidth="1"/>
    <col min="6" max="6" width="12.85546875" customWidth="1"/>
    <col min="7" max="7" width="19.42578125" customWidth="1"/>
    <col min="8" max="8" width="17.28515625" customWidth="1"/>
    <col min="9" max="9" width="18.7109375" customWidth="1"/>
    <col min="10" max="10" width="1.42578125" customWidth="1"/>
  </cols>
  <sheetData>
    <row r="1" spans="1:13" ht="15.75">
      <c r="A1" s="744" t="s">
        <v>416</v>
      </c>
    </row>
    <row r="2" spans="1:13" ht="15.75">
      <c r="A2" s="744" t="s">
        <v>416</v>
      </c>
    </row>
    <row r="3" spans="1:13" ht="18">
      <c r="A3" s="1187" t="str">
        <f>TCOS!$F$5</f>
        <v>AEPTCo subsidiaries in PJM</v>
      </c>
      <c r="B3" s="1187" t="str">
        <f>TCOS!$F$5</f>
        <v>AEPTCo subsidiaries in PJM</v>
      </c>
      <c r="C3" s="1187" t="str">
        <f>TCOS!$F$5</f>
        <v>AEPTCo subsidiaries in PJM</v>
      </c>
      <c r="D3" s="1187" t="str">
        <f>TCOS!$F$5</f>
        <v>AEPTCo subsidiaries in PJM</v>
      </c>
      <c r="E3" s="1187" t="str">
        <f>TCOS!$F$5</f>
        <v>AEPTCo subsidiaries in PJM</v>
      </c>
      <c r="F3" s="1187" t="str">
        <f>TCOS!$F$5</f>
        <v>AEPTCo subsidiaries in PJM</v>
      </c>
      <c r="G3" s="1187" t="str">
        <f>TCOS!$F$5</f>
        <v>AEPTCo subsidiaries in PJM</v>
      </c>
      <c r="H3" s="1187" t="str">
        <f>TCOS!$F$5</f>
        <v>AEPTCo subsidiaries in PJM</v>
      </c>
      <c r="I3" s="1187" t="str">
        <f>TCOS!$F$5</f>
        <v>AEPTCo subsidiaries in PJM</v>
      </c>
      <c r="J3" s="1187" t="str">
        <f>TCOS!$F$5</f>
        <v>AEPTCo subsidiaries in PJM</v>
      </c>
      <c r="K3" s="64"/>
      <c r="L3" s="64"/>
      <c r="M3" s="64"/>
    </row>
    <row r="4" spans="1:13" ht="18">
      <c r="A4" s="1186" t="str">
        <f>"Cost of Service Formula Rate Using Actual/Projected FF1 Balances"</f>
        <v>Cost of Service Formula Rate Using Actual/Projected FF1 Balances</v>
      </c>
      <c r="B4" s="1186"/>
      <c r="C4" s="1186"/>
      <c r="D4" s="1186"/>
      <c r="E4" s="1186"/>
      <c r="F4" s="1186"/>
      <c r="G4" s="1186"/>
      <c r="H4" s="1186"/>
      <c r="I4" s="1186"/>
      <c r="J4" s="1186"/>
      <c r="K4" s="44"/>
      <c r="L4" s="44"/>
      <c r="M4" s="44"/>
    </row>
    <row r="5" spans="1:13" ht="18">
      <c r="A5" s="1186" t="s">
        <v>597</v>
      </c>
      <c r="B5" s="1186"/>
      <c r="C5" s="1186"/>
      <c r="D5" s="1186"/>
      <c r="E5" s="1186"/>
      <c r="F5" s="1186"/>
      <c r="G5" s="1186"/>
      <c r="H5" s="1186"/>
      <c r="I5" s="1186"/>
      <c r="J5" s="1186"/>
      <c r="K5" s="65"/>
      <c r="L5" s="65"/>
      <c r="M5" s="65"/>
    </row>
    <row r="6" spans="1:13" ht="18">
      <c r="A6" s="1179" t="str">
        <f>+TCOS!F9</f>
        <v>AEP Kentucky Transmission Company</v>
      </c>
      <c r="B6" s="1179"/>
      <c r="C6" s="1179"/>
      <c r="D6" s="1179"/>
      <c r="E6" s="1179"/>
      <c r="F6" s="1179"/>
      <c r="G6" s="1179"/>
      <c r="H6" s="1179"/>
      <c r="I6" s="1179"/>
      <c r="J6" s="1179"/>
      <c r="K6" s="67"/>
      <c r="L6" s="67"/>
      <c r="M6" s="67"/>
    </row>
    <row r="7" spans="1:13">
      <c r="H7" s="68"/>
    </row>
    <row r="8" spans="1:13" ht="15.75">
      <c r="D8" s="122" t="s">
        <v>564</v>
      </c>
    </row>
    <row r="9" spans="1:13">
      <c r="H9" s="47"/>
    </row>
    <row r="13" spans="1:13">
      <c r="H13" s="69"/>
    </row>
    <row r="14" spans="1:13">
      <c r="H14" s="85"/>
    </row>
    <row r="15" spans="1:13">
      <c r="H15" s="85"/>
    </row>
    <row r="24" spans="2:7">
      <c r="B24" s="71"/>
      <c r="G24" s="72"/>
    </row>
    <row r="25" spans="2:7">
      <c r="G25" s="72"/>
    </row>
    <row r="26" spans="2:7">
      <c r="B26" s="86"/>
      <c r="G26" s="87"/>
    </row>
    <row r="27" spans="2:7">
      <c r="G27" s="72"/>
    </row>
    <row r="28" spans="2:7">
      <c r="G28" s="73"/>
    </row>
  </sheetData>
  <mergeCells count="4">
    <mergeCell ref="A4:J4"/>
    <mergeCell ref="A3:J3"/>
    <mergeCell ref="A6:J6"/>
    <mergeCell ref="A5:J5"/>
  </mergeCells>
  <phoneticPr fontId="0" type="noConversion"/>
  <pageMargins left="0.26" right="1.28" top="1" bottom="1" header="0.75" footer="0.5"/>
  <pageSetup scale="69"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Q170"/>
  <sheetViews>
    <sheetView view="pageBreakPreview" zoomScale="60" zoomScaleNormal="100" workbookViewId="0">
      <selection activeCell="A3" sqref="A3:O3"/>
    </sheetView>
  </sheetViews>
  <sheetFormatPr defaultColWidth="8.85546875" defaultRowHeight="12.75"/>
  <cols>
    <col min="1" max="1" width="4.7109375" customWidth="1"/>
    <col min="2" max="2" width="6.7109375" customWidth="1"/>
    <col min="3" max="3" width="26.42578125" customWidth="1"/>
    <col min="4" max="4" width="17.7109375" style="1" customWidth="1"/>
    <col min="5" max="7" width="17.7109375" customWidth="1"/>
    <col min="8" max="8" width="17.7109375" style="347" customWidth="1"/>
    <col min="9" max="9" width="17.7109375" bestFit="1" customWidth="1"/>
    <col min="10" max="10" width="2.140625" customWidth="1"/>
    <col min="11" max="12" width="17.7109375" customWidth="1"/>
    <col min="13" max="13" width="32.42578125" customWidth="1"/>
    <col min="14" max="14" width="17.7109375" customWidth="1"/>
    <col min="15" max="15" width="16.7109375" customWidth="1"/>
    <col min="16" max="16" width="2.140625" customWidth="1"/>
  </cols>
  <sheetData>
    <row r="1" spans="1:16" ht="15.75">
      <c r="A1" s="744" t="s">
        <v>416</v>
      </c>
    </row>
    <row r="2" spans="1:16" ht="15.75">
      <c r="A2" s="744" t="s">
        <v>416</v>
      </c>
    </row>
    <row r="3" spans="1:16" ht="15">
      <c r="A3" s="1146" t="str">
        <f>TCOS!$F$5</f>
        <v>AEPTCo subsidiaries in PJM</v>
      </c>
      <c r="B3" s="1146" t="str">
        <f>TCOS!$F$5</f>
        <v>AEPTCo subsidiaries in PJM</v>
      </c>
      <c r="C3" s="1146" t="str">
        <f>TCOS!$F$5</f>
        <v>AEPTCo subsidiaries in PJM</v>
      </c>
      <c r="D3" s="1146" t="str">
        <f>TCOS!$F$5</f>
        <v>AEPTCo subsidiaries in PJM</v>
      </c>
      <c r="E3" s="1146" t="str">
        <f>TCOS!$F$5</f>
        <v>AEPTCo subsidiaries in PJM</v>
      </c>
      <c r="F3" s="1146" t="str">
        <f>TCOS!$F$5</f>
        <v>AEPTCo subsidiaries in PJM</v>
      </c>
      <c r="G3" s="1146" t="str">
        <f>TCOS!$F$5</f>
        <v>AEPTCo subsidiaries in PJM</v>
      </c>
      <c r="H3" s="1146" t="str">
        <f>TCOS!$F$5</f>
        <v>AEPTCo subsidiaries in PJM</v>
      </c>
      <c r="I3" s="1146" t="str">
        <f>TCOS!$F$5</f>
        <v>AEPTCo subsidiaries in PJM</v>
      </c>
      <c r="J3" s="1146" t="str">
        <f>TCOS!$F$5</f>
        <v>AEPTCo subsidiaries in PJM</v>
      </c>
      <c r="K3" s="1146" t="str">
        <f>TCOS!$F$5</f>
        <v>AEPTCo subsidiaries in PJM</v>
      </c>
      <c r="L3" s="1146" t="str">
        <f>TCOS!$F$5</f>
        <v>AEPTCo subsidiaries in PJM</v>
      </c>
      <c r="M3" s="1146" t="str">
        <f>TCOS!$F$5</f>
        <v>AEPTCo subsidiaries in PJM</v>
      </c>
      <c r="N3" s="1146" t="str">
        <f>TCOS!$F$5</f>
        <v>AEPTCo subsidiaries in PJM</v>
      </c>
      <c r="O3" s="1146" t="str">
        <f>TCOS!$F$5</f>
        <v>AEPTCo subsidiaries in PJM</v>
      </c>
    </row>
    <row r="4" spans="1:16" ht="15">
      <c r="A4" s="1147" t="str">
        <f>"Cost of Service Formula Rate Using Actual/Projected FF1 Balances"</f>
        <v>Cost of Service Formula Rate Using Actual/Projected FF1 Balances</v>
      </c>
      <c r="B4" s="1147"/>
      <c r="C4" s="1147"/>
      <c r="D4" s="1147"/>
      <c r="E4" s="1147"/>
      <c r="F4" s="1147"/>
      <c r="G4" s="1147"/>
      <c r="H4" s="1147"/>
      <c r="I4" s="1147"/>
      <c r="J4" s="1147"/>
      <c r="K4" s="1147"/>
      <c r="L4" s="1147"/>
      <c r="M4" s="1147"/>
      <c r="N4" s="1147"/>
      <c r="O4" s="1147"/>
    </row>
    <row r="5" spans="1:16" ht="15">
      <c r="A5" s="1147" t="s">
        <v>264</v>
      </c>
      <c r="B5" s="1147"/>
      <c r="C5" s="1147"/>
      <c r="D5" s="1147"/>
      <c r="E5" s="1147"/>
      <c r="F5" s="1147"/>
      <c r="G5" s="1147"/>
      <c r="H5" s="1147"/>
      <c r="I5" s="1147"/>
      <c r="J5" s="1147"/>
      <c r="K5" s="1147"/>
      <c r="L5" s="1147"/>
      <c r="M5" s="1147"/>
      <c r="N5" s="1147"/>
      <c r="O5" s="1147"/>
    </row>
    <row r="6" spans="1:16" ht="15">
      <c r="A6" s="1154" t="str">
        <f>TCOS!F9</f>
        <v>AEP Kentucky Transmission Company</v>
      </c>
      <c r="B6" s="1154"/>
      <c r="C6" s="1154"/>
      <c r="D6" s="1154"/>
      <c r="E6" s="1154"/>
      <c r="F6" s="1154"/>
      <c r="G6" s="1154"/>
      <c r="H6" s="1154"/>
      <c r="I6" s="1154"/>
      <c r="J6" s="1154"/>
      <c r="K6" s="1154"/>
      <c r="L6" s="1154"/>
      <c r="M6" s="1154"/>
      <c r="N6" s="1154"/>
      <c r="O6" s="1154"/>
    </row>
    <row r="8" spans="1:16" ht="20.25">
      <c r="A8" s="451"/>
      <c r="N8" s="403" t="str">
        <f>"Page "&amp;P8&amp;" of "</f>
        <v xml:space="preserve">Page 1 of </v>
      </c>
      <c r="O8" s="452">
        <f>COUNT(P$8:P$56653)</f>
        <v>2</v>
      </c>
      <c r="P8" s="403">
        <v>1</v>
      </c>
    </row>
    <row r="9" spans="1:16" ht="18">
      <c r="C9" s="6"/>
    </row>
    <row r="11" spans="1:16" ht="18">
      <c r="B11" s="453" t="s">
        <v>471</v>
      </c>
      <c r="C11" s="1191" t="str">
        <f>"Calculate Return and Income Taxes with "&amp;F17&amp;" basis point ROE increase for Projects Qualified for Regional Billing."</f>
        <v>Calculate Return and Income Taxes with 0 basis point ROE increase for Projects Qualified for Regional Billing.</v>
      </c>
      <c r="D11" s="1192"/>
      <c r="E11" s="1192"/>
      <c r="F11" s="1192"/>
      <c r="G11" s="1192"/>
      <c r="H11" s="1192"/>
    </row>
    <row r="12" spans="1:16" ht="18.75" customHeight="1">
      <c r="C12" s="1192"/>
      <c r="D12" s="1192"/>
      <c r="E12" s="1192"/>
      <c r="F12" s="1192"/>
      <c r="G12" s="1192"/>
      <c r="H12" s="1192"/>
    </row>
    <row r="13" spans="1:16" ht="15.75" customHeight="1">
      <c r="C13" s="454"/>
      <c r="D13" s="454"/>
      <c r="E13" s="454"/>
      <c r="F13" s="454"/>
      <c r="G13" s="454"/>
      <c r="H13" s="454"/>
    </row>
    <row r="14" spans="1:16" ht="15.75">
      <c r="C14" s="455" t="str">
        <f>"A.   Determine 'R' with hypothetical "&amp;F17&amp;" basis point increase in ROE for Identified Projects"</f>
        <v>A.   Determine 'R' with hypothetical 0 basis point increase in ROE for Identified Projects</v>
      </c>
    </row>
    <row r="16" spans="1:16">
      <c r="C16" s="456" t="str">
        <f>"   ROE w/o incentives  (TCOS, ln "&amp;TCOS!B251&amp;")"</f>
        <v xml:space="preserve">   ROE w/o incentives  (TCOS, ln 138)</v>
      </c>
      <c r="E16" s="457"/>
      <c r="F16" s="458">
        <f>TCOS!J251</f>
        <v>0.10349999999999999</v>
      </c>
      <c r="G16" s="457"/>
      <c r="H16" s="459"/>
      <c r="I16" s="459"/>
      <c r="J16" s="459"/>
      <c r="K16" s="459"/>
      <c r="L16" s="459"/>
      <c r="M16" s="459"/>
      <c r="N16" s="459"/>
      <c r="O16" s="459"/>
      <c r="P16" s="459"/>
    </row>
    <row r="17" spans="3:16">
      <c r="C17" s="456" t="s">
        <v>50</v>
      </c>
      <c r="E17" s="457"/>
      <c r="F17" s="569">
        <v>0</v>
      </c>
      <c r="G17" s="457"/>
      <c r="H17" s="459"/>
      <c r="I17" s="459"/>
      <c r="J17" s="459"/>
    </row>
    <row r="18" spans="3:16">
      <c r="C18" s="456" t="str">
        <f>"   ROE with additional "&amp;F17&amp;" basis point incentive"</f>
        <v xml:space="preserve">   ROE with additional 0 basis point incentive</v>
      </c>
      <c r="D18" s="457"/>
      <c r="E18" s="457"/>
      <c r="F18" s="460">
        <f>IF((F16+(F17/10000)&gt;0.1274),"ERROR",F16+(F17/10000))</f>
        <v>0.10349999999999999</v>
      </c>
      <c r="G18" s="461"/>
      <c r="H18" s="459"/>
      <c r="I18" s="459"/>
      <c r="J18" s="459"/>
    </row>
    <row r="19" spans="3:16">
      <c r="C19" s="456" t="str">
        <f>"   Determine R  ( cost of long term debt, cost of preferred stock and equity percentage is from the TCOS, lns "&amp;TCOS!B249&amp;" through "&amp;TCOS!B251&amp;")"</f>
        <v xml:space="preserve">   Determine R  ( cost of long term debt, cost of preferred stock and equity percentage is from the TCOS, lns 136 through 138)</v>
      </c>
      <c r="E19" s="457"/>
      <c r="F19" s="462"/>
      <c r="G19" s="457"/>
      <c r="H19" s="459"/>
      <c r="I19" s="459"/>
      <c r="J19" s="459"/>
    </row>
    <row r="20" spans="3:16">
      <c r="C20" s="459"/>
      <c r="D20" s="463" t="s">
        <v>446</v>
      </c>
      <c r="E20" s="463" t="s">
        <v>445</v>
      </c>
      <c r="F20" s="464" t="s">
        <v>51</v>
      </c>
      <c r="G20" s="457"/>
      <c r="H20" s="459"/>
      <c r="I20" s="459"/>
      <c r="J20" s="459"/>
    </row>
    <row r="21" spans="3:16" ht="13.5" thickBot="1">
      <c r="C21" s="465" t="s">
        <v>56</v>
      </c>
      <c r="D21" s="466">
        <f>TCOS!I249</f>
        <v>0.45108451093993002</v>
      </c>
      <c r="E21" s="466">
        <f>TCOS!J249</f>
        <v>3.7669129322660096E-2</v>
      </c>
      <c r="F21" s="467">
        <f>E21*D21</f>
        <v>1.6991960778045108E-2</v>
      </c>
      <c r="G21" s="457"/>
      <c r="H21" s="459"/>
      <c r="I21" s="468"/>
      <c r="J21" s="468"/>
      <c r="K21" s="98"/>
      <c r="L21" s="98"/>
      <c r="M21" s="98"/>
      <c r="N21" s="98"/>
      <c r="O21" s="98"/>
    </row>
    <row r="22" spans="3:16">
      <c r="C22" s="465" t="s">
        <v>57</v>
      </c>
      <c r="D22" s="466">
        <f>TCOS!I250</f>
        <v>0</v>
      </c>
      <c r="E22" s="466">
        <f>TCOS!J250</f>
        <v>0</v>
      </c>
      <c r="F22" s="467">
        <f>E22*D22</f>
        <v>0</v>
      </c>
      <c r="G22" s="469"/>
      <c r="H22" s="469"/>
      <c r="I22" s="470"/>
      <c r="J22" s="470"/>
      <c r="K22" s="1194" t="s">
        <v>239</v>
      </c>
      <c r="L22" s="1195"/>
      <c r="M22" s="1195"/>
      <c r="N22" s="1195"/>
      <c r="O22" s="1196"/>
      <c r="P22" s="470"/>
    </row>
    <row r="23" spans="3:16">
      <c r="C23" s="465" t="s">
        <v>29</v>
      </c>
      <c r="D23" s="466">
        <f>TCOS!I251</f>
        <v>0.54891548906006993</v>
      </c>
      <c r="E23" s="466">
        <f>+F18</f>
        <v>0.10349999999999999</v>
      </c>
      <c r="F23" s="471">
        <f>E23*D23</f>
        <v>5.6812753117717232E-2</v>
      </c>
      <c r="G23" s="469"/>
      <c r="H23" s="469"/>
      <c r="I23" s="470"/>
      <c r="J23" s="470"/>
      <c r="K23" s="1197"/>
      <c r="L23" s="1198"/>
      <c r="M23" s="1198"/>
      <c r="N23" s="1198"/>
      <c r="O23" s="1199"/>
      <c r="P23" s="470"/>
    </row>
    <row r="24" spans="3:16">
      <c r="C24" s="456"/>
      <c r="D24"/>
      <c r="E24" s="472" t="s">
        <v>58</v>
      </c>
      <c r="F24" s="467">
        <f>SUM(F21:F23)</f>
        <v>7.3804713895762347E-2</v>
      </c>
      <c r="G24" s="469"/>
      <c r="H24" s="469"/>
      <c r="I24" s="470"/>
      <c r="J24" s="470"/>
      <c r="K24" s="473"/>
      <c r="L24" s="474"/>
      <c r="M24" s="475" t="s">
        <v>52</v>
      </c>
      <c r="N24" s="475" t="s">
        <v>53</v>
      </c>
      <c r="O24" s="476" t="s">
        <v>55</v>
      </c>
      <c r="P24" s="470"/>
    </row>
    <row r="25" spans="3:16">
      <c r="C25" s="3"/>
      <c r="D25" s="477"/>
      <c r="E25" s="477"/>
      <c r="F25" s="469"/>
      <c r="G25" s="469"/>
      <c r="H25" s="469"/>
      <c r="I25" s="469"/>
      <c r="J25" s="469"/>
      <c r="K25" s="478"/>
      <c r="L25" s="98"/>
      <c r="M25" s="98"/>
      <c r="N25" s="98"/>
      <c r="O25" s="479"/>
      <c r="P25" s="469"/>
    </row>
    <row r="26" spans="3:16" ht="16.5" thickBot="1">
      <c r="C26" s="455" t="str">
        <f>"B.   Determine Return using 'R' with hypothetical "&amp;F17&amp;" basis point ROE increase for Identified Projects."</f>
        <v>B.   Determine Return using 'R' with hypothetical 0 basis point ROE increase for Identified Projects.</v>
      </c>
      <c r="D26" s="477"/>
      <c r="E26" s="477"/>
      <c r="F26" s="469"/>
      <c r="G26" s="469"/>
      <c r="H26" s="457"/>
      <c r="I26" s="469"/>
      <c r="J26" s="469"/>
      <c r="K26" s="480" t="s">
        <v>59</v>
      </c>
      <c r="L26" s="481">
        <f>+TCOS!L4</f>
        <v>2025</v>
      </c>
      <c r="M26" s="698">
        <f>N88</f>
        <v>0</v>
      </c>
      <c r="N26" s="698">
        <f>N89</f>
        <v>0</v>
      </c>
      <c r="O26" s="482">
        <f>+N26-M26</f>
        <v>0</v>
      </c>
      <c r="P26" s="469"/>
    </row>
    <row r="27" spans="3:16">
      <c r="C27" s="459"/>
      <c r="D27" s="477"/>
      <c r="E27" s="477"/>
      <c r="F27" s="469"/>
      <c r="G27" s="469"/>
      <c r="H27" s="469"/>
      <c r="I27" s="469"/>
      <c r="J27" s="469"/>
      <c r="K27" s="483"/>
      <c r="L27" s="483"/>
      <c r="M27" s="484"/>
      <c r="N27" s="483"/>
      <c r="O27" s="483"/>
      <c r="P27" s="469"/>
    </row>
    <row r="28" spans="3:16">
      <c r="C28" s="456" t="str">
        <f>"   Rate Base  (TCOS, ln "&amp;TCOS!B118&amp;")"</f>
        <v xml:space="preserve">   Rate Base  (TCOS, ln 58)</v>
      </c>
      <c r="D28" s="457"/>
      <c r="F28" s="485">
        <f>TCOS!L118</f>
        <v>133616854.92660886</v>
      </c>
      <c r="G28" s="469"/>
      <c r="H28" s="469"/>
      <c r="I28" s="469"/>
      <c r="J28" s="469"/>
      <c r="K28" s="483"/>
      <c r="L28" s="483"/>
      <c r="M28" s="483"/>
      <c r="N28" s="483"/>
      <c r="O28" s="486"/>
      <c r="P28" s="469"/>
    </row>
    <row r="29" spans="3:16">
      <c r="C29" s="459" t="s">
        <v>284</v>
      </c>
      <c r="D29" s="487"/>
      <c r="F29" s="467">
        <f>F24</f>
        <v>7.3804713895762347E-2</v>
      </c>
      <c r="G29" s="469"/>
      <c r="H29" s="469"/>
      <c r="I29" s="469"/>
      <c r="J29" s="469"/>
      <c r="K29" s="469"/>
      <c r="L29" s="469"/>
      <c r="M29" s="469"/>
      <c r="N29" s="469"/>
      <c r="O29" s="469"/>
      <c r="P29" s="469"/>
    </row>
    <row r="30" spans="3:16">
      <c r="C30" s="488" t="s">
        <v>61</v>
      </c>
      <c r="D30" s="488"/>
      <c r="F30" s="470">
        <f>F28*F29</f>
        <v>9861553.7495099511</v>
      </c>
      <c r="G30" s="469"/>
      <c r="H30" s="469"/>
      <c r="I30" s="470"/>
      <c r="J30" s="470"/>
      <c r="K30" s="470"/>
      <c r="L30" s="470"/>
      <c r="M30" s="470"/>
      <c r="N30" s="470"/>
      <c r="O30" s="469"/>
      <c r="P30" s="470"/>
    </row>
    <row r="31" spans="3:16">
      <c r="C31" s="488"/>
      <c r="D31" s="459"/>
      <c r="E31" s="459"/>
      <c r="F31" s="469"/>
      <c r="G31" s="469"/>
      <c r="H31" s="469"/>
      <c r="I31" s="470"/>
      <c r="J31" s="470"/>
      <c r="K31" s="470"/>
      <c r="L31" s="470"/>
      <c r="M31" s="470"/>
      <c r="N31" s="470"/>
      <c r="O31" s="469"/>
      <c r="P31" s="470"/>
    </row>
    <row r="32" spans="3:16" ht="15.75">
      <c r="C32" s="455" t="str">
        <f>"C.   Determine Income Taxes using Return with hypothetical "&amp;F17&amp;" basis point ROE increase for Identified Projects."</f>
        <v>C.   Determine Income Taxes using Return with hypothetical 0 basis point ROE increase for Identified Projects.</v>
      </c>
      <c r="D32" s="489"/>
      <c r="E32" s="489"/>
      <c r="F32" s="490"/>
      <c r="G32" s="490"/>
      <c r="H32" s="490"/>
      <c r="I32" s="491"/>
      <c r="J32" s="491"/>
      <c r="K32" s="491"/>
      <c r="L32" s="491"/>
      <c r="M32" s="491"/>
      <c r="N32" s="491"/>
      <c r="O32" s="490"/>
      <c r="P32" s="491"/>
    </row>
    <row r="33" spans="2:16">
      <c r="C33" s="456"/>
      <c r="D33" s="459"/>
      <c r="E33" s="459"/>
      <c r="F33" s="469"/>
      <c r="G33" s="469"/>
      <c r="H33" s="469"/>
      <c r="I33" s="470"/>
      <c r="J33" s="470"/>
      <c r="K33" s="470"/>
      <c r="L33" s="470"/>
      <c r="M33" s="470"/>
      <c r="N33" s="470"/>
      <c r="O33" s="469"/>
      <c r="P33" s="470"/>
    </row>
    <row r="34" spans="2:16">
      <c r="C34" s="459" t="s">
        <v>62</v>
      </c>
      <c r="D34" s="472"/>
      <c r="F34" s="492">
        <f>F30</f>
        <v>9861553.7495099511</v>
      </c>
      <c r="G34" s="469"/>
      <c r="H34" s="469"/>
      <c r="I34" s="469"/>
      <c r="J34" s="469"/>
      <c r="K34" s="469"/>
      <c r="L34" s="469"/>
      <c r="M34" s="469"/>
      <c r="N34" s="469"/>
      <c r="O34" s="469"/>
      <c r="P34" s="469"/>
    </row>
    <row r="35" spans="2:16">
      <c r="C35" s="456" t="str">
        <f>"   Effective Tax Rate  (TCOS, ln "&amp;TCOS!B178&amp;")"</f>
        <v xml:space="preserve">   Effective Tax Rate  (TCOS, ln 97)</v>
      </c>
      <c r="D35" s="47"/>
      <c r="F35" s="493">
        <f>TCOS!G178</f>
        <v>0.25547497689059179</v>
      </c>
      <c r="G35" s="3"/>
      <c r="H35" s="494"/>
      <c r="I35" s="3"/>
      <c r="J35" s="3"/>
      <c r="K35" s="3"/>
      <c r="L35" s="3"/>
      <c r="M35" s="3"/>
      <c r="N35" s="3"/>
      <c r="O35" s="3"/>
      <c r="P35" s="3"/>
    </row>
    <row r="36" spans="2:16">
      <c r="C36" s="488" t="s">
        <v>63</v>
      </c>
      <c r="D36" s="47"/>
      <c r="F36" s="495">
        <f>F34*F35</f>
        <v>2519380.2162613836</v>
      </c>
      <c r="G36" s="3"/>
      <c r="H36" s="494"/>
      <c r="I36" s="3"/>
      <c r="J36" s="3"/>
      <c r="K36" s="3"/>
      <c r="L36" s="3"/>
      <c r="M36" s="3"/>
      <c r="N36" s="3"/>
      <c r="O36" s="3"/>
      <c r="P36" s="3"/>
    </row>
    <row r="37" spans="2:16" ht="15">
      <c r="C37" s="456" t="s">
        <v>105</v>
      </c>
      <c r="D37" s="135"/>
      <c r="F37" s="469">
        <f>TCOS!L186</f>
        <v>0</v>
      </c>
      <c r="G37" s="135"/>
      <c r="H37" s="135"/>
      <c r="I37" s="135"/>
      <c r="J37" s="135"/>
      <c r="K37" s="135"/>
      <c r="L37" s="135"/>
      <c r="M37" s="135"/>
      <c r="N37" s="135"/>
      <c r="O37" s="149"/>
      <c r="P37" s="135"/>
    </row>
    <row r="38" spans="2:16" ht="15">
      <c r="C38" s="456" t="s">
        <v>560</v>
      </c>
      <c r="D38" s="135"/>
      <c r="F38" s="469">
        <f>TCOS!L187</f>
        <v>19997.774770889078</v>
      </c>
      <c r="G38" s="135"/>
      <c r="H38" s="135"/>
      <c r="I38" s="135"/>
      <c r="J38" s="135"/>
      <c r="K38" s="135"/>
      <c r="L38" s="135"/>
      <c r="M38" s="135"/>
      <c r="N38" s="135"/>
      <c r="O38" s="149"/>
      <c r="P38" s="135"/>
    </row>
    <row r="39" spans="2:16" ht="15.75" thickBot="1">
      <c r="C39" s="456" t="s">
        <v>562</v>
      </c>
      <c r="D39" s="135"/>
      <c r="F39" s="496">
        <f>TCOS!L188</f>
        <v>53447.256359605541</v>
      </c>
      <c r="G39" s="135"/>
      <c r="H39" s="135"/>
      <c r="I39" s="135"/>
      <c r="J39" s="135"/>
      <c r="K39" s="135"/>
      <c r="L39" s="135"/>
      <c r="M39" s="135"/>
      <c r="N39" s="135"/>
      <c r="O39" s="149"/>
      <c r="P39" s="135"/>
    </row>
    <row r="40" spans="2:16" ht="15">
      <c r="C40" s="488" t="s">
        <v>64</v>
      </c>
      <c r="D40" s="135"/>
      <c r="F40" s="469">
        <f>F36+F37+F38+F39</f>
        <v>2592825.2473918782</v>
      </c>
      <c r="G40" s="248"/>
      <c r="H40" s="135"/>
      <c r="I40" s="135"/>
      <c r="J40" s="135"/>
      <c r="K40" s="135"/>
      <c r="L40" s="135"/>
      <c r="M40" s="135"/>
      <c r="N40" s="135"/>
      <c r="O40" s="148"/>
      <c r="P40" s="135"/>
    </row>
    <row r="41" spans="2:16" ht="12.75" customHeight="1">
      <c r="C41" s="131"/>
      <c r="D41" s="135"/>
      <c r="E41" s="135"/>
      <c r="F41" s="135"/>
      <c r="G41" s="135"/>
      <c r="H41" s="135"/>
      <c r="I41" s="135"/>
      <c r="J41" s="135"/>
      <c r="K41" s="135"/>
      <c r="L41" s="135"/>
      <c r="M41" s="135"/>
      <c r="N41" s="135"/>
      <c r="O41" s="148"/>
      <c r="P41" s="135"/>
    </row>
    <row r="42" spans="2:16" ht="18.75">
      <c r="B42" s="453" t="s">
        <v>472</v>
      </c>
      <c r="C42" s="6" t="str">
        <f>"Calculate Net Plant Carrying Charge Rate (Fixed Charge Rate or FCR) with hypothetical "&amp;F17&amp;""</f>
        <v>Calculate Net Plant Carrying Charge Rate (Fixed Charge Rate or FCR) with hypothetical 0</v>
      </c>
      <c r="D42" s="135"/>
      <c r="E42" s="135"/>
      <c r="F42" s="135"/>
      <c r="G42" s="135"/>
      <c r="H42" s="135"/>
      <c r="I42" s="135"/>
      <c r="J42" s="135"/>
      <c r="K42" s="135"/>
      <c r="L42" s="135"/>
      <c r="M42" s="135"/>
      <c r="N42" s="135"/>
      <c r="O42" s="148"/>
      <c r="P42" s="135"/>
    </row>
    <row r="43" spans="2:16" ht="18.75" customHeight="1">
      <c r="C43" s="6" t="str">
        <f>"basis point ROE increase."</f>
        <v>basis point ROE increase.</v>
      </c>
      <c r="D43" s="135"/>
      <c r="E43" s="135"/>
      <c r="F43" s="135"/>
      <c r="G43" s="135"/>
      <c r="H43" s="135"/>
      <c r="I43" s="135"/>
      <c r="J43" s="135"/>
      <c r="K43" s="135"/>
      <c r="L43" s="135"/>
      <c r="M43" s="135"/>
      <c r="N43" s="135"/>
      <c r="O43" s="148"/>
      <c r="P43" s="135"/>
    </row>
    <row r="44" spans="2:16" ht="12.75" customHeight="1">
      <c r="C44" s="6"/>
      <c r="D44" s="135"/>
      <c r="E44" s="135"/>
      <c r="F44" s="135"/>
      <c r="G44" s="135"/>
      <c r="H44" s="135"/>
      <c r="I44" s="135"/>
      <c r="J44" s="135"/>
      <c r="K44" s="135"/>
      <c r="L44" s="135"/>
      <c r="M44" s="135"/>
      <c r="N44" s="135"/>
      <c r="O44" s="148"/>
      <c r="P44" s="135"/>
    </row>
    <row r="45" spans="2:16" ht="15.75">
      <c r="C45" s="455" t="s">
        <v>261</v>
      </c>
      <c r="D45" s="135"/>
      <c r="E45" s="135"/>
      <c r="F45" s="131"/>
      <c r="G45" s="135"/>
      <c r="H45" s="135"/>
      <c r="I45" s="135"/>
      <c r="J45" s="135"/>
      <c r="K45" s="135"/>
      <c r="L45" s="135"/>
      <c r="M45" s="135"/>
      <c r="N45" s="135"/>
      <c r="O45" s="148"/>
      <c r="P45" s="135"/>
    </row>
    <row r="46" spans="2:16">
      <c r="B46" s="3"/>
      <c r="C46" s="456"/>
      <c r="D46" s="457"/>
      <c r="E46" s="457"/>
      <c r="F46" s="457"/>
      <c r="G46" s="457"/>
      <c r="H46" s="457"/>
      <c r="I46" s="457"/>
      <c r="J46" s="457"/>
      <c r="K46" s="457"/>
      <c r="L46" s="457"/>
      <c r="M46" s="457"/>
      <c r="N46" s="457"/>
      <c r="O46" s="469"/>
      <c r="P46" s="457"/>
    </row>
    <row r="47" spans="2:16" ht="12.75" customHeight="1">
      <c r="B47" s="3"/>
      <c r="C47" s="456" t="str">
        <f>"   Annual Revenue Requirement  (TCOS, ln "&amp;TCOS!B13&amp;")"</f>
        <v xml:space="preserve">   Annual Revenue Requirement  (TCOS, ln 1)</v>
      </c>
      <c r="D47" s="457"/>
      <c r="E47" s="457"/>
      <c r="G47" s="469">
        <f>TCOS!L13</f>
        <v>21215182.183590215</v>
      </c>
      <c r="H47" s="701"/>
      <c r="I47" s="457"/>
      <c r="J47" s="457"/>
      <c r="K47" s="457"/>
      <c r="L47" s="457"/>
      <c r="M47" s="457"/>
      <c r="N47" s="457"/>
      <c r="O47" s="469"/>
      <c r="P47" s="457"/>
    </row>
    <row r="48" spans="2:16" ht="12.75" customHeight="1">
      <c r="B48" s="3"/>
      <c r="C48" s="456" t="str">
        <f>"   Lease Payments (TCOS, Ln "&amp;TCOS!B157&amp;")"</f>
        <v xml:space="preserve">   Lease Payments (TCOS, Ln 80)</v>
      </c>
      <c r="D48" s="457"/>
      <c r="E48" s="457"/>
      <c r="G48" s="469">
        <f>+TCOS!L157</f>
        <v>0</v>
      </c>
      <c r="H48" s="701"/>
      <c r="I48" s="457"/>
      <c r="J48" s="457"/>
      <c r="K48" s="457"/>
      <c r="L48" s="457"/>
      <c r="M48" s="457"/>
      <c r="N48" s="457"/>
      <c r="O48" s="469"/>
      <c r="P48" s="457"/>
    </row>
    <row r="49" spans="2:16">
      <c r="B49" s="3"/>
      <c r="C49" s="456" t="str">
        <f>"   Return  (TCOS, ln "&amp;TCOS!B191&amp;")"</f>
        <v xml:space="preserve">   Return  (TCOS, ln 109)</v>
      </c>
      <c r="D49" s="457"/>
      <c r="E49" s="457"/>
      <c r="G49" s="470">
        <f>TCOS!L191</f>
        <v>9861553.7495099511</v>
      </c>
      <c r="H49" s="702"/>
      <c r="I49" s="457"/>
      <c r="J49" s="456"/>
      <c r="K49" s="456"/>
      <c r="L49" s="456"/>
      <c r="M49" s="456"/>
      <c r="N49" s="456"/>
      <c r="O49" s="469"/>
      <c r="P49" s="456"/>
    </row>
    <row r="50" spans="2:16">
      <c r="B50" s="3"/>
      <c r="C50" s="456" t="str">
        <f>"   Income Taxes  (TCOS, ln "&amp;TCOS!B189&amp;")"</f>
        <v xml:space="preserve">   Income Taxes  (TCOS, ln 108)</v>
      </c>
      <c r="D50" s="457"/>
      <c r="E50" s="457"/>
      <c r="G50" s="498">
        <f>F40</f>
        <v>2592825.2473918782</v>
      </c>
      <c r="H50" s="701"/>
      <c r="I50" s="457"/>
      <c r="J50" s="499"/>
      <c r="K50" s="499"/>
      <c r="L50" s="499"/>
      <c r="M50" s="499"/>
      <c r="N50" s="499"/>
      <c r="O50" s="457"/>
      <c r="P50" s="499"/>
    </row>
    <row r="51" spans="2:16">
      <c r="B51" s="3"/>
      <c r="C51" s="3" t="s">
        <v>617</v>
      </c>
      <c r="D51" s="457"/>
      <c r="E51" s="457"/>
      <c r="G51" s="470">
        <f>G47-G49-G50-G48</f>
        <v>8760803.1866883859</v>
      </c>
      <c r="H51" s="470"/>
      <c r="I51" s="457"/>
      <c r="J51" s="500"/>
      <c r="K51" s="500"/>
      <c r="L51" s="500"/>
      <c r="M51" s="500"/>
      <c r="N51" s="500"/>
      <c r="O51" s="500"/>
      <c r="P51" s="500"/>
    </row>
    <row r="52" spans="2:16">
      <c r="B52" s="3"/>
      <c r="C52" s="456"/>
      <c r="D52" s="457"/>
      <c r="E52" s="457"/>
      <c r="F52" s="469"/>
      <c r="G52" s="501"/>
      <c r="H52" s="502"/>
      <c r="I52" s="457"/>
      <c r="J52" s="502"/>
      <c r="K52" s="502"/>
      <c r="L52" s="502"/>
      <c r="M52" s="502"/>
      <c r="N52" s="502"/>
      <c r="O52" s="502"/>
      <c r="P52" s="502"/>
    </row>
    <row r="53" spans="2:16" ht="15.75">
      <c r="B53" s="3"/>
      <c r="C53" s="455" t="str">
        <f>"B.   Determine Annual Revenue Requirement with hypothetical "&amp;F17&amp;" basis point increase in ROE."</f>
        <v>B.   Determine Annual Revenue Requirement with hypothetical 0 basis point increase in ROE.</v>
      </c>
      <c r="D53" s="459"/>
      <c r="E53" s="459"/>
      <c r="F53" s="469"/>
      <c r="G53" s="501"/>
      <c r="H53" s="502"/>
      <c r="I53" s="502"/>
      <c r="J53" s="502"/>
      <c r="K53" s="502"/>
      <c r="L53" s="502"/>
      <c r="M53" s="502"/>
      <c r="N53" s="502"/>
      <c r="O53" s="502"/>
      <c r="P53" s="502"/>
    </row>
    <row r="54" spans="2:16">
      <c r="B54" s="3"/>
      <c r="C54" s="456"/>
      <c r="D54" s="459"/>
      <c r="E54" s="459"/>
      <c r="F54" s="469"/>
      <c r="G54" s="501"/>
      <c r="H54" s="502"/>
      <c r="I54" s="502"/>
      <c r="J54" s="502"/>
      <c r="K54" s="502"/>
      <c r="L54" s="502"/>
      <c r="M54" s="502"/>
      <c r="N54" s="502"/>
      <c r="O54" s="502"/>
      <c r="P54" s="502"/>
    </row>
    <row r="55" spans="2:16">
      <c r="B55" s="3"/>
      <c r="C55" s="456" t="str">
        <f>C51</f>
        <v xml:space="preserve">   Annual Revenue Requirement, Less Return and Taxes</v>
      </c>
      <c r="D55" s="459"/>
      <c r="E55" s="459"/>
      <c r="G55" s="469">
        <f>G51</f>
        <v>8760803.1866883859</v>
      </c>
      <c r="H55" s="469"/>
      <c r="I55" s="457"/>
      <c r="J55" s="457"/>
      <c r="K55" s="457"/>
      <c r="L55" s="457"/>
      <c r="M55" s="457"/>
      <c r="N55" s="457"/>
      <c r="O55" s="503"/>
      <c r="P55" s="457"/>
    </row>
    <row r="56" spans="2:16">
      <c r="B56" s="3"/>
      <c r="C56" s="459" t="s">
        <v>102</v>
      </c>
      <c r="D56" s="47"/>
      <c r="E56" s="3"/>
      <c r="G56" s="495">
        <f>F30</f>
        <v>9861553.7495099511</v>
      </c>
      <c r="H56" s="703"/>
      <c r="I56" s="457"/>
      <c r="J56" s="3"/>
      <c r="K56" s="3"/>
      <c r="L56" s="3"/>
      <c r="M56" s="3"/>
      <c r="N56" s="3"/>
      <c r="O56" s="3"/>
      <c r="P56" s="3"/>
    </row>
    <row r="57" spans="2:16" ht="12.75" customHeight="1">
      <c r="B57" s="3"/>
      <c r="C57" s="456" t="s">
        <v>70</v>
      </c>
      <c r="D57" s="457"/>
      <c r="E57" s="457"/>
      <c r="G57" s="498">
        <f>F40</f>
        <v>2592825.2473918782</v>
      </c>
      <c r="H57" s="701"/>
      <c r="I57" s="457"/>
      <c r="J57" s="3"/>
      <c r="K57" s="3"/>
      <c r="L57" s="3"/>
      <c r="M57" s="3"/>
      <c r="N57" s="3"/>
      <c r="O57" s="3"/>
      <c r="P57" s="3"/>
    </row>
    <row r="58" spans="2:16">
      <c r="B58" s="3"/>
      <c r="C58" s="3" t="str">
        <f>"   Annual Revenue Requirement, with "&amp;F17&amp;" Basis Point ROE increase"</f>
        <v xml:space="preserve">   Annual Revenue Requirement, with 0 Basis Point ROE increase</v>
      </c>
      <c r="D58" s="47"/>
      <c r="E58" s="3"/>
      <c r="G58" s="495">
        <f>SUM(G55:G57)</f>
        <v>21215182.183590218</v>
      </c>
      <c r="H58" s="703"/>
      <c r="I58" s="457"/>
      <c r="J58" s="3"/>
      <c r="K58" s="3"/>
      <c r="L58" s="3"/>
      <c r="M58" s="3"/>
      <c r="N58" s="3"/>
      <c r="O58" s="3"/>
      <c r="P58" s="3"/>
    </row>
    <row r="59" spans="2:16">
      <c r="B59" s="3"/>
      <c r="C59" s="456" t="str">
        <f>"   Depreciation &amp; Amortization (TCOS, ln "&amp;TCOS!B161&amp;")"</f>
        <v xml:space="preserve">   Depreciation &amp; Amortization (TCOS, ln 83)</v>
      </c>
      <c r="D59" s="47"/>
      <c r="E59" s="3"/>
      <c r="G59" s="504">
        <f>TCOS!L161</f>
        <v>3721091</v>
      </c>
      <c r="H59" s="703"/>
      <c r="I59" s="457"/>
      <c r="J59" s="3"/>
      <c r="K59" s="3"/>
      <c r="L59" s="3"/>
      <c r="M59" s="3"/>
      <c r="N59" s="3"/>
      <c r="O59" s="3"/>
      <c r="P59" s="3"/>
    </row>
    <row r="60" spans="2:16">
      <c r="B60" s="3"/>
      <c r="C60" s="3" t="str">
        <f>"   Annual Rev. Req, w/"&amp;F17&amp;" Basis Point ROE increase, less Depreciation"</f>
        <v xml:space="preserve">   Annual Rev. Req, w/0 Basis Point ROE increase, less Depreciation</v>
      </c>
      <c r="D60" s="47"/>
      <c r="E60" s="3"/>
      <c r="G60" s="495">
        <f>G58-G59</f>
        <v>17494091.183590218</v>
      </c>
      <c r="H60" s="703"/>
      <c r="I60" s="457"/>
      <c r="J60" s="3"/>
      <c r="K60" s="3"/>
      <c r="L60" s="3"/>
      <c r="M60" s="3"/>
      <c r="N60" s="3"/>
      <c r="O60" s="3"/>
      <c r="P60" s="3"/>
    </row>
    <row r="61" spans="2:16">
      <c r="B61" s="3"/>
      <c r="C61" s="3"/>
      <c r="D61" s="47"/>
      <c r="E61" s="3"/>
      <c r="F61" s="3"/>
      <c r="G61" s="3"/>
      <c r="H61" s="704"/>
      <c r="I61" s="457"/>
      <c r="J61" s="3"/>
      <c r="K61" s="3"/>
      <c r="L61" s="3"/>
      <c r="M61" s="3"/>
      <c r="N61" s="3"/>
      <c r="O61" s="3"/>
      <c r="P61" s="3"/>
    </row>
    <row r="62" spans="2:16" ht="15.75">
      <c r="B62" s="3"/>
      <c r="C62" s="455" t="str">
        <f>"C.   Determine FCR with hypothetical "&amp;F17&amp;" basis point ROE increase."</f>
        <v>C.   Determine FCR with hypothetical 0 basis point ROE increase.</v>
      </c>
      <c r="D62" s="47"/>
      <c r="E62" s="3"/>
      <c r="F62" s="3"/>
      <c r="G62" s="3"/>
      <c r="H62" s="704"/>
      <c r="I62" s="457"/>
      <c r="J62" s="3"/>
      <c r="K62" s="3"/>
      <c r="L62" s="3"/>
      <c r="M62" s="3"/>
      <c r="N62" s="3"/>
      <c r="O62" s="3"/>
      <c r="P62" s="3"/>
    </row>
    <row r="63" spans="2:16">
      <c r="B63" s="3"/>
      <c r="C63" s="3"/>
      <c r="D63" s="47"/>
      <c r="E63" s="3"/>
      <c r="F63" s="3"/>
      <c r="G63" s="3"/>
      <c r="H63" s="704"/>
      <c r="I63" s="457"/>
      <c r="J63" s="3"/>
      <c r="K63" s="3"/>
      <c r="L63" s="3"/>
      <c r="M63" s="3"/>
      <c r="N63" s="3"/>
      <c r="O63" s="3"/>
      <c r="P63" s="3"/>
    </row>
    <row r="64" spans="2:16">
      <c r="B64" s="3"/>
      <c r="C64" s="456" t="str">
        <f>"   Net Transmission Plant  (Projected TCOS, ln "&amp;TCOS!B83&amp;")"</f>
        <v xml:space="preserve">   Net Transmission Plant  (Projected TCOS, ln 33)</v>
      </c>
      <c r="D64" s="47"/>
      <c r="E64" s="3"/>
      <c r="G64" s="495">
        <f>TCOS!L83</f>
        <v>129229845.19153845</v>
      </c>
      <c r="H64" s="703"/>
      <c r="I64" s="457"/>
      <c r="J64" s="3"/>
      <c r="K64" s="3"/>
      <c r="L64" s="3"/>
      <c r="M64" s="3"/>
      <c r="N64" s="3"/>
      <c r="O64" s="3"/>
      <c r="P64" s="3"/>
    </row>
    <row r="65" spans="2:17">
      <c r="B65" s="3"/>
      <c r="C65" s="3" t="str">
        <f>"   Annual Revenue Requirement, with "&amp;F17&amp;" Basis Point ROE increase"</f>
        <v xml:space="preserve">   Annual Revenue Requirement, with 0 Basis Point ROE increase</v>
      </c>
      <c r="D65" s="47"/>
      <c r="E65" s="3"/>
      <c r="G65" s="495">
        <f>G58</f>
        <v>21215182.183590218</v>
      </c>
      <c r="H65" s="703"/>
      <c r="I65" s="457"/>
      <c r="J65" s="3"/>
      <c r="K65" s="3"/>
      <c r="L65" s="3"/>
      <c r="M65" s="3"/>
      <c r="N65" s="3"/>
      <c r="O65" s="3"/>
      <c r="P65" s="3"/>
    </row>
    <row r="66" spans="2:17">
      <c r="B66" s="3"/>
      <c r="C66" s="3" t="str">
        <f>"   FCR with "&amp;F17&amp;" Basis Point increase in ROE"</f>
        <v xml:space="preserve">   FCR with 0 Basis Point increase in ROE</v>
      </c>
      <c r="D66" s="47"/>
      <c r="E66" s="3"/>
      <c r="G66" s="493">
        <f>IF(G64=0,0,G65/G64)</f>
        <v>0.1641662740688582</v>
      </c>
      <c r="H66" s="705"/>
      <c r="I66" s="457"/>
      <c r="J66" s="3"/>
      <c r="K66" s="3"/>
      <c r="L66" s="3"/>
      <c r="M66" s="3"/>
      <c r="N66" s="3"/>
      <c r="O66" s="3"/>
      <c r="P66" s="3"/>
    </row>
    <row r="67" spans="2:17">
      <c r="B67" s="3"/>
      <c r="C67" s="41"/>
      <c r="D67" s="47"/>
      <c r="E67" s="3"/>
      <c r="G67" s="3"/>
      <c r="H67" s="296"/>
      <c r="I67" s="457"/>
      <c r="J67" s="3"/>
      <c r="K67" s="3"/>
      <c r="L67" s="3"/>
      <c r="M67" s="3"/>
      <c r="N67" s="3"/>
      <c r="O67" s="3"/>
      <c r="P67" s="3"/>
    </row>
    <row r="68" spans="2:17">
      <c r="B68" s="3"/>
      <c r="C68" s="3" t="str">
        <f>"   Annual Rev. Req, w / "&amp;F17&amp;" Basis Point ROE increase, less Dep."</f>
        <v xml:space="preserve">   Annual Rev. Req, w / 0 Basis Point ROE increase, less Dep.</v>
      </c>
      <c r="D68" s="47"/>
      <c r="E68" s="3"/>
      <c r="G68" s="495">
        <f>G60</f>
        <v>17494091.183590218</v>
      </c>
      <c r="H68" s="703"/>
      <c r="I68" s="457"/>
      <c r="J68" s="3"/>
      <c r="K68" s="3"/>
      <c r="L68" s="3"/>
      <c r="M68" s="3"/>
      <c r="N68" s="3"/>
      <c r="O68" s="3"/>
      <c r="P68" s="3"/>
    </row>
    <row r="69" spans="2:17">
      <c r="B69" s="3"/>
      <c r="C69" s="3" t="str">
        <f>"   FCR with "&amp;F17&amp;" Basis Point ROE increase, less Depreciation"</f>
        <v xml:space="preserve">   FCR with 0 Basis Point ROE increase, less Depreciation</v>
      </c>
      <c r="D69" s="47"/>
      <c r="E69" s="3"/>
      <c r="G69" s="493">
        <f>IF(G64=0,0,G68/G64)</f>
        <v>0.1353719116328066</v>
      </c>
      <c r="H69" s="705"/>
      <c r="I69" s="505"/>
      <c r="J69" s="3"/>
      <c r="K69" s="3"/>
      <c r="L69" s="3"/>
      <c r="M69" s="3"/>
      <c r="N69" s="3"/>
      <c r="O69" s="3"/>
      <c r="P69" s="3"/>
    </row>
    <row r="70" spans="2:17">
      <c r="B70" s="3"/>
      <c r="C70" s="456" t="str">
        <f>"   FCR less Depreciation  (TCOS, ln "&amp;TCOS!B31&amp;")"</f>
        <v xml:space="preserve">   FCR less Depreciation  (TCOS, ln 10)</v>
      </c>
      <c r="D70" s="47"/>
      <c r="E70" s="3"/>
      <c r="G70" s="506">
        <f>TCOS!L31</f>
        <v>0.13537191163280657</v>
      </c>
      <c r="H70" s="706"/>
      <c r="I70" s="505"/>
      <c r="J70" s="3"/>
      <c r="K70" s="3"/>
      <c r="L70" s="3"/>
      <c r="M70" s="3"/>
      <c r="N70" s="3"/>
      <c r="O70" s="3"/>
      <c r="P70" s="3"/>
    </row>
    <row r="71" spans="2:17">
      <c r="B71" s="3"/>
      <c r="C71" s="3" t="str">
        <f>"   Incremental FCR with "&amp;F17&amp;" Basis Point ROE increase, less Depreciation"</f>
        <v xml:space="preserve">   Incremental FCR with 0 Basis Point ROE increase, less Depreciation</v>
      </c>
      <c r="D71" s="47"/>
      <c r="E71" s="3"/>
      <c r="G71" s="493">
        <f>G69-G70</f>
        <v>0</v>
      </c>
      <c r="H71" s="705"/>
      <c r="I71" s="457"/>
      <c r="J71" s="3"/>
      <c r="K71" s="3"/>
      <c r="L71" s="3"/>
      <c r="M71" s="3"/>
      <c r="N71" s="3"/>
      <c r="O71" s="3"/>
      <c r="P71" s="3"/>
    </row>
    <row r="72" spans="2:17">
      <c r="B72" s="3"/>
      <c r="C72" s="3"/>
      <c r="D72" s="47"/>
      <c r="E72" s="3"/>
      <c r="F72" s="493"/>
      <c r="G72" s="3"/>
      <c r="H72" s="704"/>
      <c r="I72" s="3"/>
      <c r="J72" s="3"/>
      <c r="K72" s="3"/>
      <c r="L72" s="3"/>
      <c r="M72" s="3"/>
      <c r="N72" s="3"/>
      <c r="O72" s="3"/>
      <c r="P72" s="3"/>
    </row>
    <row r="73" spans="2:17" ht="18.75">
      <c r="B73" s="453" t="s">
        <v>473</v>
      </c>
      <c r="C73" s="6" t="s">
        <v>71</v>
      </c>
      <c r="D73" s="47"/>
      <c r="E73" s="3"/>
      <c r="F73" s="493"/>
      <c r="G73" s="3"/>
      <c r="H73" s="704"/>
      <c r="I73" s="3"/>
      <c r="J73" s="3"/>
      <c r="K73" s="3"/>
      <c r="L73" s="3"/>
      <c r="M73" s="3"/>
      <c r="N73" s="3"/>
      <c r="O73" s="3"/>
      <c r="P73" s="3"/>
    </row>
    <row r="74" spans="2:17">
      <c r="B74" s="3"/>
      <c r="C74" s="3"/>
      <c r="D74" s="47"/>
      <c r="E74" s="3"/>
      <c r="F74" s="493"/>
      <c r="G74" s="3"/>
      <c r="H74" s="704"/>
      <c r="I74" s="3"/>
      <c r="J74" s="3"/>
      <c r="K74" s="3"/>
      <c r="L74" s="3"/>
      <c r="M74" s="3"/>
      <c r="N74" s="3"/>
      <c r="O74" s="3"/>
      <c r="P74" s="3"/>
    </row>
    <row r="75" spans="2:17">
      <c r="B75" s="3"/>
      <c r="C75" s="3" t="str">
        <f>+"Average Transmission Plant Balance for "&amp;TCOS!L4&amp;" TCOS, ln "&amp;TCOS!B63</f>
        <v>Average Transmission Plant Balance for 2025 TCOS, ln 19</v>
      </c>
      <c r="D75" s="47"/>
      <c r="E75" s="3"/>
      <c r="F75" s="3"/>
      <c r="G75" s="349">
        <f>TCOS!L63</f>
        <v>160022293.89076921</v>
      </c>
      <c r="I75" s="3"/>
      <c r="J75" s="3"/>
      <c r="K75" s="507"/>
      <c r="L75" s="3"/>
      <c r="M75" s="3"/>
      <c r="N75" s="3"/>
      <c r="O75" s="3"/>
      <c r="P75" s="3"/>
    </row>
    <row r="76" spans="2:17">
      <c r="B76" s="3"/>
      <c r="C76" s="3" t="str">
        <f>"Annual Depreciation and Amortization Expense (TCOS, ln "&amp;TCOS!B161&amp;")"</f>
        <v>Annual Depreciation and Amortization Expense (TCOS, ln 83)</v>
      </c>
      <c r="D76" s="47"/>
      <c r="E76" s="3"/>
      <c r="G76" s="349">
        <f>TCOS!L161</f>
        <v>3721091</v>
      </c>
      <c r="H76" s="494"/>
      <c r="I76" s="3"/>
      <c r="J76" s="3"/>
      <c r="K76" s="3"/>
      <c r="L76" s="3"/>
      <c r="M76" s="3"/>
      <c r="N76" s="3"/>
      <c r="O76" s="3"/>
      <c r="P76" s="3"/>
    </row>
    <row r="77" spans="2:17" ht="12.75" customHeight="1">
      <c r="B77" s="3"/>
      <c r="C77" s="3" t="s">
        <v>72</v>
      </c>
      <c r="D77" s="47"/>
      <c r="E77" s="3"/>
      <c r="G77" s="650">
        <f>G76/G75</f>
        <v>2.3253578670357062E-2</v>
      </c>
      <c r="H77" s="508"/>
      <c r="I77" s="1193"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AEP Kentucky Transmission Company establishes Transmission plant in service the depreciation expense component of the carrying charge will be calculated as in the Operating Company formula approved in Docket No. ER08-1329.  The calculation for AEP Kentucky Transmission Company is shown on Worksheet P.</v>
      </c>
      <c r="J77" s="1193"/>
      <c r="K77" s="1193"/>
      <c r="L77" s="1193"/>
      <c r="M77" s="1193"/>
      <c r="N77" s="1193"/>
      <c r="O77" s="1193"/>
      <c r="P77" s="454"/>
      <c r="Q77" s="454"/>
    </row>
    <row r="78" spans="2:17">
      <c r="B78" s="3"/>
      <c r="C78" s="3" t="s">
        <v>73</v>
      </c>
      <c r="D78" s="47"/>
      <c r="E78" s="3"/>
      <c r="G78" s="509">
        <f>IF(G77=0,0,1/G77)</f>
        <v>43.004133435803965</v>
      </c>
      <c r="H78" s="494"/>
      <c r="I78" s="1193"/>
      <c r="J78" s="1193"/>
      <c r="K78" s="1193"/>
      <c r="L78" s="1193"/>
      <c r="M78" s="1193"/>
      <c r="N78" s="1193"/>
      <c r="O78" s="1193"/>
      <c r="P78" s="454"/>
      <c r="Q78" s="454"/>
    </row>
    <row r="79" spans="2:17">
      <c r="B79" s="3"/>
      <c r="C79" s="3" t="s">
        <v>598</v>
      </c>
      <c r="D79" s="47"/>
      <c r="E79" s="3"/>
      <c r="G79" s="510">
        <f>ROUND(G78,0)</f>
        <v>43</v>
      </c>
      <c r="H79" s="494"/>
      <c r="I79" s="1193"/>
      <c r="J79" s="1193"/>
      <c r="K79" s="1193"/>
      <c r="L79" s="1193"/>
      <c r="M79" s="1193"/>
      <c r="N79" s="1193"/>
      <c r="O79" s="1193"/>
      <c r="P79" s="454"/>
      <c r="Q79" s="454"/>
    </row>
    <row r="80" spans="2:17">
      <c r="B80" s="3"/>
      <c r="C80" s="3"/>
      <c r="D80" s="47"/>
      <c r="E80" s="3"/>
      <c r="G80" s="510"/>
      <c r="H80" s="494"/>
      <c r="I80" s="1193"/>
      <c r="J80" s="1193"/>
      <c r="K80" s="1193"/>
      <c r="L80" s="1193"/>
      <c r="M80" s="1193"/>
      <c r="N80" s="1193"/>
      <c r="O80" s="1193"/>
    </row>
    <row r="81" spans="1:16">
      <c r="C81" s="511"/>
      <c r="D81" s="510"/>
      <c r="E81" s="510"/>
      <c r="F81" s="510"/>
      <c r="G81" s="507"/>
      <c r="H81" s="507"/>
    </row>
    <row r="82" spans="1:16" ht="20.25">
      <c r="A82" s="451" t="str">
        <f>""&amp;A6&amp;" Worksheet J -  ATRR PROJECTED Calculation for PJM Projects Charged to Benefiting Zones"</f>
        <v>AEP Kentucky Transmission Company Worksheet J -  ATRR PROJECTED Calculation for PJM Projects Charged to Benefiting Zones</v>
      </c>
      <c r="B82" s="3"/>
      <c r="C82" s="3"/>
      <c r="D82" s="47"/>
      <c r="E82" s="3"/>
      <c r="F82" s="493"/>
      <c r="G82" s="3"/>
      <c r="H82" s="494"/>
      <c r="K82" s="403"/>
      <c r="L82" s="403"/>
      <c r="M82" s="403"/>
      <c r="N82" s="403" t="str">
        <f>"Page "&amp;SUM(P$8:P82)&amp;" of "</f>
        <v xml:space="preserve">Page 2 of </v>
      </c>
      <c r="O82" s="452">
        <f>COUNT(P$8:P$56653)</f>
        <v>2</v>
      </c>
      <c r="P82" s="512">
        <v>1</v>
      </c>
    </row>
    <row r="83" spans="1:16">
      <c r="B83" s="3"/>
      <c r="C83" s="3"/>
      <c r="D83" s="47"/>
      <c r="E83" s="3"/>
      <c r="F83" s="3"/>
      <c r="G83" s="3"/>
      <c r="H83" s="494"/>
      <c r="I83" s="3"/>
      <c r="J83" s="3"/>
      <c r="K83" s="3"/>
      <c r="L83" s="3"/>
      <c r="M83" s="3"/>
      <c r="N83" s="3"/>
      <c r="O83" s="3"/>
      <c r="P83" s="3"/>
    </row>
    <row r="84" spans="1:16" ht="18">
      <c r="B84" s="453" t="s">
        <v>474</v>
      </c>
      <c r="C84" s="122" t="s">
        <v>93</v>
      </c>
      <c r="D84" s="47"/>
      <c r="E84" s="3"/>
      <c r="F84" s="3"/>
      <c r="G84" s="3"/>
      <c r="H84" s="494"/>
      <c r="I84" s="494"/>
      <c r="J84" s="507"/>
      <c r="K84" s="494"/>
      <c r="L84" s="494"/>
      <c r="M84" s="494"/>
      <c r="N84" s="494"/>
      <c r="O84" s="3"/>
    </row>
    <row r="85" spans="1:16" ht="18.75">
      <c r="B85" s="453"/>
      <c r="C85" s="6"/>
      <c r="D85" s="47"/>
      <c r="E85" s="3"/>
      <c r="F85" s="3"/>
      <c r="G85" s="3"/>
      <c r="H85" s="494"/>
      <c r="I85" s="494"/>
      <c r="J85" s="507"/>
      <c r="K85" s="494"/>
      <c r="L85" s="494"/>
      <c r="M85" s="494"/>
      <c r="N85" s="494"/>
      <c r="O85" s="3"/>
    </row>
    <row r="86" spans="1:16" ht="18.75">
      <c r="B86" s="453"/>
      <c r="C86" s="6" t="s">
        <v>94</v>
      </c>
      <c r="D86" s="47"/>
      <c r="E86" s="3"/>
      <c r="F86" s="3"/>
      <c r="G86" s="3"/>
      <c r="H86" s="494"/>
      <c r="I86" s="494"/>
      <c r="J86" s="507"/>
      <c r="K86" s="494"/>
      <c r="L86" s="494"/>
      <c r="M86" s="494"/>
      <c r="N86" s="494"/>
      <c r="O86" s="3"/>
    </row>
    <row r="87" spans="1:16" ht="15.75" thickBot="1">
      <c r="C87" s="131"/>
      <c r="D87" s="47"/>
      <c r="E87" s="3"/>
      <c r="F87" s="3"/>
      <c r="G87" s="3"/>
      <c r="H87" s="494"/>
      <c r="I87" s="494"/>
      <c r="J87" s="507"/>
      <c r="K87" s="494"/>
      <c r="L87" s="494"/>
      <c r="M87" s="494"/>
      <c r="N87" s="494"/>
      <c r="O87" s="3"/>
    </row>
    <row r="88" spans="1:16" ht="15.75">
      <c r="C88" s="455" t="s">
        <v>95</v>
      </c>
      <c r="D88" s="47"/>
      <c r="E88" s="3"/>
      <c r="F88" s="3"/>
      <c r="G88" s="570"/>
      <c r="H88" s="3" t="s">
        <v>74</v>
      </c>
      <c r="I88" s="3"/>
      <c r="J88" s="3"/>
      <c r="K88" s="513" t="s">
        <v>99</v>
      </c>
      <c r="L88" s="514"/>
      <c r="M88" s="515"/>
      <c r="N88" s="516">
        <v>0</v>
      </c>
      <c r="O88" s="3"/>
    </row>
    <row r="89" spans="1:16" ht="15.75">
      <c r="C89" s="455"/>
      <c r="D89" s="47"/>
      <c r="E89" s="3"/>
      <c r="F89" s="3"/>
      <c r="G89" s="3"/>
      <c r="H89" s="517"/>
      <c r="I89" s="517"/>
      <c r="J89" s="518"/>
      <c r="K89" s="519" t="s">
        <v>100</v>
      </c>
      <c r="L89" s="520"/>
      <c r="M89" s="3"/>
      <c r="N89" s="521">
        <v>0</v>
      </c>
      <c r="O89" s="3"/>
    </row>
    <row r="90" spans="1:16" ht="13.5" thickBot="1">
      <c r="C90" s="522" t="s">
        <v>96</v>
      </c>
      <c r="D90" s="1188"/>
      <c r="E90" s="1188"/>
      <c r="F90" s="1188"/>
      <c r="G90" s="1188"/>
      <c r="H90" s="1188"/>
      <c r="I90" s="1188"/>
      <c r="J90" s="507"/>
      <c r="K90" s="523" t="s">
        <v>238</v>
      </c>
      <c r="L90" s="524"/>
      <c r="M90" s="524"/>
      <c r="N90" s="525">
        <f>+N89-N88</f>
        <v>0</v>
      </c>
      <c r="O90" s="3"/>
    </row>
    <row r="91" spans="1:16">
      <c r="C91" s="526"/>
      <c r="D91" s="527"/>
      <c r="E91" s="510"/>
      <c r="F91" s="510"/>
      <c r="G91" s="528"/>
      <c r="H91" s="494"/>
      <c r="I91" s="494"/>
      <c r="J91" s="507"/>
      <c r="K91" s="494"/>
      <c r="L91" s="494"/>
      <c r="M91" s="494"/>
      <c r="N91" s="494"/>
      <c r="O91" s="3"/>
    </row>
    <row r="92" spans="1:16" ht="13.5" thickBot="1">
      <c r="C92" s="526"/>
      <c r="D92" s="3"/>
      <c r="E92" s="528"/>
      <c r="F92" s="528"/>
      <c r="G92" s="528"/>
      <c r="H92" s="528"/>
      <c r="I92" s="528"/>
      <c r="J92" s="528"/>
      <c r="K92" s="528"/>
      <c r="L92" s="528"/>
      <c r="M92" s="528"/>
      <c r="N92" s="528"/>
      <c r="O92" s="3"/>
    </row>
    <row r="93" spans="1:16" ht="13.5" thickBot="1">
      <c r="C93" s="529" t="s">
        <v>97</v>
      </c>
      <c r="D93" s="530"/>
      <c r="E93" s="530"/>
      <c r="F93" s="530"/>
      <c r="G93" s="530"/>
      <c r="H93" s="530"/>
      <c r="I93" s="531"/>
      <c r="K93" s="3"/>
      <c r="L93" s="3"/>
      <c r="M93" s="3"/>
      <c r="N93" s="3"/>
      <c r="O93" s="3"/>
    </row>
    <row r="94" spans="1:16" ht="15">
      <c r="C94" s="532" t="s">
        <v>75</v>
      </c>
      <c r="D94" s="572"/>
      <c r="E94" s="3" t="s">
        <v>76</v>
      </c>
      <c r="G94" s="47"/>
      <c r="H94" s="47"/>
      <c r="I94" s="533">
        <v>2017</v>
      </c>
      <c r="J94" s="70"/>
      <c r="K94" s="1190" t="s">
        <v>247</v>
      </c>
      <c r="L94" s="1190"/>
      <c r="M94" s="1190"/>
      <c r="N94" s="1190"/>
      <c r="O94" s="1190"/>
    </row>
    <row r="95" spans="1:16">
      <c r="C95" s="532" t="s">
        <v>78</v>
      </c>
      <c r="D95" s="573"/>
      <c r="E95" s="532" t="s">
        <v>79</v>
      </c>
      <c r="F95" s="47"/>
      <c r="H95"/>
      <c r="I95" s="574">
        <f>IF(G88="",0,$F$17)</f>
        <v>0</v>
      </c>
      <c r="J95" s="534"/>
      <c r="K95" s="507" t="s">
        <v>247</v>
      </c>
    </row>
    <row r="96" spans="1:16">
      <c r="C96" s="532" t="s">
        <v>80</v>
      </c>
      <c r="D96" s="572"/>
      <c r="E96" s="532" t="s">
        <v>81</v>
      </c>
      <c r="F96" s="47"/>
      <c r="H96"/>
      <c r="I96" s="535">
        <f>$G$70</f>
        <v>0.13537191163280657</v>
      </c>
      <c r="J96" s="493"/>
      <c r="K96" t="str">
        <f>"          INPUT PROJECTED ARR (WITH &amp; WITHOUT INCENTIVES) FROM EACH PRIOR YEAR"</f>
        <v xml:space="preserve">          INPUT PROJECTED ARR (WITH &amp; WITHOUT INCENTIVES) FROM EACH PRIOR YEAR</v>
      </c>
    </row>
    <row r="97" spans="2:15">
      <c r="C97" s="532" t="s">
        <v>82</v>
      </c>
      <c r="D97" s="536">
        <f>$G$79</f>
        <v>43</v>
      </c>
      <c r="E97" s="532" t="s">
        <v>83</v>
      </c>
      <c r="F97" s="47"/>
      <c r="H97"/>
      <c r="I97" s="535">
        <f>IF(G88="",I96,$G$69)</f>
        <v>0.13537191163280657</v>
      </c>
      <c r="J97" s="493"/>
      <c r="K97" t="s">
        <v>160</v>
      </c>
    </row>
    <row r="98" spans="2:15" ht="13.5" thickBot="1">
      <c r="C98" s="532" t="s">
        <v>84</v>
      </c>
      <c r="D98" s="571"/>
      <c r="E98" s="537" t="s">
        <v>85</v>
      </c>
      <c r="F98" s="538"/>
      <c r="G98" s="539"/>
      <c r="H98" s="539"/>
      <c r="I98" s="525">
        <f>IF(D94=0,0,D94/D97)</f>
        <v>0</v>
      </c>
      <c r="J98" s="507"/>
      <c r="K98" s="507" t="s">
        <v>166</v>
      </c>
      <c r="L98" s="507"/>
      <c r="M98" s="507"/>
      <c r="N98" s="507"/>
      <c r="O98" s="3"/>
    </row>
    <row r="99" spans="2:15" ht="51">
      <c r="B99" s="454"/>
      <c r="C99" s="540" t="s">
        <v>75</v>
      </c>
      <c r="D99" s="541" t="s">
        <v>86</v>
      </c>
      <c r="E99" s="542" t="s">
        <v>87</v>
      </c>
      <c r="F99" s="541" t="s">
        <v>88</v>
      </c>
      <c r="G99" s="542" t="s">
        <v>159</v>
      </c>
      <c r="H99" s="543" t="s">
        <v>159</v>
      </c>
      <c r="I99" s="540" t="s">
        <v>98</v>
      </c>
      <c r="J99" s="544"/>
      <c r="K99" s="542" t="s">
        <v>168</v>
      </c>
      <c r="L99" s="545"/>
      <c r="M99" s="542" t="s">
        <v>168</v>
      </c>
      <c r="N99" s="545"/>
      <c r="O99" s="545"/>
    </row>
    <row r="100" spans="2:15" ht="13.5" thickBot="1">
      <c r="C100" s="546" t="s">
        <v>477</v>
      </c>
      <c r="D100" s="547" t="s">
        <v>478</v>
      </c>
      <c r="E100" s="546" t="s">
        <v>371</v>
      </c>
      <c r="F100" s="547" t="s">
        <v>478</v>
      </c>
      <c r="G100" s="548" t="s">
        <v>101</v>
      </c>
      <c r="H100" s="549" t="s">
        <v>103</v>
      </c>
      <c r="I100" s="546" t="s">
        <v>15</v>
      </c>
      <c r="J100" s="550"/>
      <c r="K100" s="548" t="s">
        <v>90</v>
      </c>
      <c r="L100" s="551"/>
      <c r="M100" s="548" t="s">
        <v>103</v>
      </c>
      <c r="N100" s="551"/>
      <c r="O100" s="551"/>
    </row>
    <row r="101" spans="2:15">
      <c r="C101" s="552" t="str">
        <f>IF(D95= "","-",D95)</f>
        <v>-</v>
      </c>
      <c r="D101" s="510">
        <f>+D94</f>
        <v>0</v>
      </c>
      <c r="E101" s="553">
        <f>+I98/12*(12-D96)</f>
        <v>0</v>
      </c>
      <c r="F101" s="510">
        <f>+D101-E101</f>
        <v>0</v>
      </c>
      <c r="G101" s="737">
        <f>+$I$96*((D101+F101)/2)+E101</f>
        <v>0</v>
      </c>
      <c r="H101" s="738">
        <f>$I$97*((D101+F101)/2)+E101</f>
        <v>0</v>
      </c>
      <c r="I101" s="556">
        <f>+H101-G101</f>
        <v>0</v>
      </c>
      <c r="J101" s="556"/>
      <c r="K101" s="575"/>
      <c r="L101" s="557"/>
      <c r="M101" s="575"/>
      <c r="N101" s="557"/>
      <c r="O101" s="557"/>
    </row>
    <row r="102" spans="2:15">
      <c r="C102" s="552" t="str">
        <f>IF(D95="","-",+C101+1)</f>
        <v>-</v>
      </c>
      <c r="D102" s="510">
        <f t="shared" ref="D102:D160" si="0">F101</f>
        <v>0</v>
      </c>
      <c r="E102" s="553">
        <f>IF(D102&gt;$I$98,$I$98,D102)</f>
        <v>0</v>
      </c>
      <c r="F102" s="510">
        <f t="shared" ref="F102:F160" si="1">+D102-E102</f>
        <v>0</v>
      </c>
      <c r="G102" s="558">
        <f t="shared" ref="G102:G160" si="2">+$I$96*((D102+F102)/2)+E102</f>
        <v>0</v>
      </c>
      <c r="H102" s="559">
        <f t="shared" ref="H102:H160" si="3">$I$97*((D102+F102)/2)+E102</f>
        <v>0</v>
      </c>
      <c r="I102" s="556">
        <f t="shared" ref="I102:I160" si="4">+H102-G102</f>
        <v>0</v>
      </c>
      <c r="J102" s="556"/>
      <c r="K102" s="576"/>
      <c r="L102" s="560"/>
      <c r="M102" s="576"/>
      <c r="N102" s="560"/>
      <c r="O102" s="560"/>
    </row>
    <row r="103" spans="2:15">
      <c r="C103" s="552" t="str">
        <f>IF(D95="","-",+C102+1)</f>
        <v>-</v>
      </c>
      <c r="D103" s="510">
        <f t="shared" si="0"/>
        <v>0</v>
      </c>
      <c r="E103" s="553">
        <f t="shared" ref="E103:E160" si="5">IF(D103&gt;$I$98,$I$98,D103)</f>
        <v>0</v>
      </c>
      <c r="F103" s="510">
        <f t="shared" si="1"/>
        <v>0</v>
      </c>
      <c r="G103" s="558">
        <f t="shared" si="2"/>
        <v>0</v>
      </c>
      <c r="H103" s="559">
        <f t="shared" si="3"/>
        <v>0</v>
      </c>
      <c r="I103" s="556">
        <f t="shared" si="4"/>
        <v>0</v>
      </c>
      <c r="J103" s="556"/>
      <c r="K103" s="576"/>
      <c r="L103" s="560"/>
      <c r="M103" s="576"/>
      <c r="N103" s="560"/>
      <c r="O103" s="560"/>
    </row>
    <row r="104" spans="2:15">
      <c r="C104" s="552" t="str">
        <f>IF(D95="","-",+C103+1)</f>
        <v>-</v>
      </c>
      <c r="D104" s="510">
        <f t="shared" si="0"/>
        <v>0</v>
      </c>
      <c r="E104" s="553">
        <f t="shared" si="5"/>
        <v>0</v>
      </c>
      <c r="F104" s="510">
        <f t="shared" si="1"/>
        <v>0</v>
      </c>
      <c r="G104" s="558">
        <f t="shared" si="2"/>
        <v>0</v>
      </c>
      <c r="H104" s="559">
        <f t="shared" si="3"/>
        <v>0</v>
      </c>
      <c r="I104" s="556">
        <f t="shared" si="4"/>
        <v>0</v>
      </c>
      <c r="J104" s="556"/>
      <c r="K104" s="576"/>
      <c r="L104" s="560"/>
      <c r="M104" s="576"/>
      <c r="N104" s="560"/>
      <c r="O104" s="560"/>
    </row>
    <row r="105" spans="2:15">
      <c r="C105" s="552" t="str">
        <f>IF(D95="","-",+C104+1)</f>
        <v>-</v>
      </c>
      <c r="D105" s="510">
        <f t="shared" si="0"/>
        <v>0</v>
      </c>
      <c r="E105" s="553">
        <f t="shared" si="5"/>
        <v>0</v>
      </c>
      <c r="F105" s="510">
        <f t="shared" si="1"/>
        <v>0</v>
      </c>
      <c r="G105" s="558">
        <f t="shared" si="2"/>
        <v>0</v>
      </c>
      <c r="H105" s="559">
        <f t="shared" si="3"/>
        <v>0</v>
      </c>
      <c r="I105" s="556">
        <f t="shared" si="4"/>
        <v>0</v>
      </c>
      <c r="J105" s="556"/>
      <c r="K105" s="576"/>
      <c r="L105" s="560"/>
      <c r="M105" s="576"/>
      <c r="N105" s="560"/>
      <c r="O105" s="560"/>
    </row>
    <row r="106" spans="2:15">
      <c r="C106" s="552" t="str">
        <f>IF(D95="","-",+C105+1)</f>
        <v>-</v>
      </c>
      <c r="D106" s="510">
        <f t="shared" si="0"/>
        <v>0</v>
      </c>
      <c r="E106" s="553">
        <f t="shared" si="5"/>
        <v>0</v>
      </c>
      <c r="F106" s="510">
        <f t="shared" si="1"/>
        <v>0</v>
      </c>
      <c r="G106" s="558">
        <f t="shared" si="2"/>
        <v>0</v>
      </c>
      <c r="H106" s="559">
        <f t="shared" si="3"/>
        <v>0</v>
      </c>
      <c r="I106" s="556">
        <f t="shared" si="4"/>
        <v>0</v>
      </c>
      <c r="J106" s="556"/>
      <c r="K106" s="576"/>
      <c r="L106" s="560"/>
      <c r="M106" s="576"/>
      <c r="N106" s="560"/>
      <c r="O106" s="560"/>
    </row>
    <row r="107" spans="2:15">
      <c r="C107" s="552" t="str">
        <f>IF(D95="","-",+C106+1)</f>
        <v>-</v>
      </c>
      <c r="D107" s="510">
        <f t="shared" si="0"/>
        <v>0</v>
      </c>
      <c r="E107" s="553">
        <f t="shared" si="5"/>
        <v>0</v>
      </c>
      <c r="F107" s="510">
        <f t="shared" si="1"/>
        <v>0</v>
      </c>
      <c r="G107" s="558">
        <f t="shared" si="2"/>
        <v>0</v>
      </c>
      <c r="H107" s="559">
        <f t="shared" si="3"/>
        <v>0</v>
      </c>
      <c r="I107" s="556">
        <f t="shared" si="4"/>
        <v>0</v>
      </c>
      <c r="J107" s="556"/>
      <c r="K107" s="576"/>
      <c r="L107" s="560"/>
      <c r="M107" s="576"/>
      <c r="N107" s="560"/>
      <c r="O107" s="560"/>
    </row>
    <row r="108" spans="2:15">
      <c r="C108" s="552" t="str">
        <f>IF(D95="","-",+C107+1)</f>
        <v>-</v>
      </c>
      <c r="D108" s="510">
        <f t="shared" si="0"/>
        <v>0</v>
      </c>
      <c r="E108" s="553">
        <f t="shared" si="5"/>
        <v>0</v>
      </c>
      <c r="F108" s="510">
        <f t="shared" si="1"/>
        <v>0</v>
      </c>
      <c r="G108" s="558">
        <f t="shared" si="2"/>
        <v>0</v>
      </c>
      <c r="H108" s="559">
        <f t="shared" si="3"/>
        <v>0</v>
      </c>
      <c r="I108" s="556">
        <f t="shared" si="4"/>
        <v>0</v>
      </c>
      <c r="J108" s="556"/>
      <c r="K108" s="576"/>
      <c r="L108" s="560"/>
      <c r="M108" s="576"/>
      <c r="N108" s="560"/>
      <c r="O108" s="560"/>
    </row>
    <row r="109" spans="2:15">
      <c r="C109" s="552" t="str">
        <f>IF(D95="","-",+C108+1)</f>
        <v>-</v>
      </c>
      <c r="D109" s="510">
        <f t="shared" si="0"/>
        <v>0</v>
      </c>
      <c r="E109" s="553">
        <f t="shared" si="5"/>
        <v>0</v>
      </c>
      <c r="F109" s="510">
        <f t="shared" si="1"/>
        <v>0</v>
      </c>
      <c r="G109" s="558">
        <f t="shared" si="2"/>
        <v>0</v>
      </c>
      <c r="H109" s="559">
        <f t="shared" si="3"/>
        <v>0</v>
      </c>
      <c r="I109" s="556">
        <f t="shared" si="4"/>
        <v>0</v>
      </c>
      <c r="J109" s="556"/>
      <c r="K109" s="576"/>
      <c r="L109" s="560"/>
      <c r="M109" s="576"/>
      <c r="N109" s="560"/>
      <c r="O109" s="560"/>
    </row>
    <row r="110" spans="2:15">
      <c r="C110" s="552" t="str">
        <f>IF(D95="","-",+C109+1)</f>
        <v>-</v>
      </c>
      <c r="D110" s="510">
        <f t="shared" si="0"/>
        <v>0</v>
      </c>
      <c r="E110" s="553">
        <f t="shared" si="5"/>
        <v>0</v>
      </c>
      <c r="F110" s="510">
        <f t="shared" si="1"/>
        <v>0</v>
      </c>
      <c r="G110" s="558">
        <f t="shared" si="2"/>
        <v>0</v>
      </c>
      <c r="H110" s="559">
        <f t="shared" si="3"/>
        <v>0</v>
      </c>
      <c r="I110" s="556">
        <f t="shared" si="4"/>
        <v>0</v>
      </c>
      <c r="J110" s="556"/>
      <c r="K110" s="576"/>
      <c r="L110" s="560"/>
      <c r="M110" s="576"/>
      <c r="N110" s="560"/>
      <c r="O110" s="560"/>
    </row>
    <row r="111" spans="2:15">
      <c r="C111" s="552" t="str">
        <f>IF(D95="","-",+C110+1)</f>
        <v>-</v>
      </c>
      <c r="D111" s="510">
        <f t="shared" si="0"/>
        <v>0</v>
      </c>
      <c r="E111" s="553">
        <f t="shared" si="5"/>
        <v>0</v>
      </c>
      <c r="F111" s="510">
        <f t="shared" si="1"/>
        <v>0</v>
      </c>
      <c r="G111" s="558">
        <f t="shared" si="2"/>
        <v>0</v>
      </c>
      <c r="H111" s="559">
        <f t="shared" si="3"/>
        <v>0</v>
      </c>
      <c r="I111" s="556">
        <f t="shared" si="4"/>
        <v>0</v>
      </c>
      <c r="J111" s="556"/>
      <c r="K111" s="576"/>
      <c r="L111" s="560"/>
      <c r="M111" s="576"/>
      <c r="N111" s="560"/>
      <c r="O111" s="560"/>
    </row>
    <row r="112" spans="2:15">
      <c r="C112" s="552" t="str">
        <f>IF(D95="","-",+C111+1)</f>
        <v>-</v>
      </c>
      <c r="D112" s="510">
        <f t="shared" si="0"/>
        <v>0</v>
      </c>
      <c r="E112" s="553">
        <f t="shared" si="5"/>
        <v>0</v>
      </c>
      <c r="F112" s="510">
        <f t="shared" si="1"/>
        <v>0</v>
      </c>
      <c r="G112" s="558">
        <f t="shared" si="2"/>
        <v>0</v>
      </c>
      <c r="H112" s="559">
        <f t="shared" si="3"/>
        <v>0</v>
      </c>
      <c r="I112" s="556">
        <f t="shared" si="4"/>
        <v>0</v>
      </c>
      <c r="J112" s="556"/>
      <c r="K112" s="576"/>
      <c r="L112" s="560"/>
      <c r="M112" s="576"/>
      <c r="N112" s="560"/>
      <c r="O112" s="560"/>
    </row>
    <row r="113" spans="3:15">
      <c r="C113" s="552" t="str">
        <f>IF(D95="","-",+C112+1)</f>
        <v>-</v>
      </c>
      <c r="D113" s="510">
        <f t="shared" si="0"/>
        <v>0</v>
      </c>
      <c r="E113" s="553">
        <f t="shared" si="5"/>
        <v>0</v>
      </c>
      <c r="F113" s="510">
        <f t="shared" si="1"/>
        <v>0</v>
      </c>
      <c r="G113" s="558">
        <f t="shared" si="2"/>
        <v>0</v>
      </c>
      <c r="H113" s="559">
        <f t="shared" si="3"/>
        <v>0</v>
      </c>
      <c r="I113" s="556">
        <f t="shared" si="4"/>
        <v>0</v>
      </c>
      <c r="J113" s="556"/>
      <c r="K113" s="576"/>
      <c r="L113" s="560"/>
      <c r="M113" s="576"/>
      <c r="N113" s="561"/>
      <c r="O113" s="560"/>
    </row>
    <row r="114" spans="3:15">
      <c r="C114" s="552" t="str">
        <f>IF(D95="","-",+C113+1)</f>
        <v>-</v>
      </c>
      <c r="D114" s="510">
        <f t="shared" si="0"/>
        <v>0</v>
      </c>
      <c r="E114" s="553">
        <f t="shared" si="5"/>
        <v>0</v>
      </c>
      <c r="F114" s="510">
        <f t="shared" si="1"/>
        <v>0</v>
      </c>
      <c r="G114" s="558">
        <f t="shared" si="2"/>
        <v>0</v>
      </c>
      <c r="H114" s="559">
        <f t="shared" si="3"/>
        <v>0</v>
      </c>
      <c r="I114" s="556">
        <f t="shared" si="4"/>
        <v>0</v>
      </c>
      <c r="J114" s="556"/>
      <c r="K114" s="576"/>
      <c r="L114" s="560"/>
      <c r="M114" s="576"/>
      <c r="N114" s="560"/>
      <c r="O114" s="560"/>
    </row>
    <row r="115" spans="3:15">
      <c r="C115" s="552" t="str">
        <f>IF(D95="","-",+C114+1)</f>
        <v>-</v>
      </c>
      <c r="D115" s="510">
        <f t="shared" si="0"/>
        <v>0</v>
      </c>
      <c r="E115" s="553">
        <f t="shared" si="5"/>
        <v>0</v>
      </c>
      <c r="F115" s="510">
        <f t="shared" si="1"/>
        <v>0</v>
      </c>
      <c r="G115" s="558">
        <f t="shared" si="2"/>
        <v>0</v>
      </c>
      <c r="H115" s="559">
        <f t="shared" si="3"/>
        <v>0</v>
      </c>
      <c r="I115" s="556">
        <f t="shared" si="4"/>
        <v>0</v>
      </c>
      <c r="J115" s="556"/>
      <c r="K115" s="576"/>
      <c r="L115" s="560"/>
      <c r="M115" s="576"/>
      <c r="N115" s="560"/>
      <c r="O115" s="560"/>
    </row>
    <row r="116" spans="3:15">
      <c r="C116" s="552" t="str">
        <f>IF(D95="","-",+C115+1)</f>
        <v>-</v>
      </c>
      <c r="D116" s="510">
        <f t="shared" si="0"/>
        <v>0</v>
      </c>
      <c r="E116" s="553">
        <f t="shared" si="5"/>
        <v>0</v>
      </c>
      <c r="F116" s="510">
        <f t="shared" si="1"/>
        <v>0</v>
      </c>
      <c r="G116" s="558">
        <f t="shared" si="2"/>
        <v>0</v>
      </c>
      <c r="H116" s="559">
        <f t="shared" si="3"/>
        <v>0</v>
      </c>
      <c r="I116" s="556">
        <f t="shared" si="4"/>
        <v>0</v>
      </c>
      <c r="J116" s="556"/>
      <c r="K116" s="576"/>
      <c r="L116" s="560"/>
      <c r="M116" s="576"/>
      <c r="N116" s="560"/>
      <c r="O116" s="560"/>
    </row>
    <row r="117" spans="3:15">
      <c r="C117" s="552" t="str">
        <f>IF(D95="","-",+C116+1)</f>
        <v>-</v>
      </c>
      <c r="D117" s="510">
        <f t="shared" si="0"/>
        <v>0</v>
      </c>
      <c r="E117" s="553">
        <f t="shared" si="5"/>
        <v>0</v>
      </c>
      <c r="F117" s="510">
        <f t="shared" si="1"/>
        <v>0</v>
      </c>
      <c r="G117" s="558">
        <f t="shared" si="2"/>
        <v>0</v>
      </c>
      <c r="H117" s="559">
        <f t="shared" si="3"/>
        <v>0</v>
      </c>
      <c r="I117" s="556">
        <f t="shared" si="4"/>
        <v>0</v>
      </c>
      <c r="J117" s="556"/>
      <c r="K117" s="576"/>
      <c r="L117" s="560"/>
      <c r="M117" s="576"/>
      <c r="N117" s="560"/>
      <c r="O117" s="560"/>
    </row>
    <row r="118" spans="3:15">
      <c r="C118" s="552" t="str">
        <f>IF(D95="","-",+C117+1)</f>
        <v>-</v>
      </c>
      <c r="D118" s="510">
        <f t="shared" si="0"/>
        <v>0</v>
      </c>
      <c r="E118" s="553">
        <f t="shared" si="5"/>
        <v>0</v>
      </c>
      <c r="F118" s="510">
        <f t="shared" si="1"/>
        <v>0</v>
      </c>
      <c r="G118" s="558">
        <f t="shared" si="2"/>
        <v>0</v>
      </c>
      <c r="H118" s="559">
        <f t="shared" si="3"/>
        <v>0</v>
      </c>
      <c r="I118" s="556">
        <f t="shared" si="4"/>
        <v>0</v>
      </c>
      <c r="J118" s="556"/>
      <c r="K118" s="576"/>
      <c r="L118" s="560"/>
      <c r="M118" s="576"/>
      <c r="N118" s="560"/>
      <c r="O118" s="560"/>
    </row>
    <row r="119" spans="3:15">
      <c r="C119" s="552" t="str">
        <f>IF(D95="","-",+C118+1)</f>
        <v>-</v>
      </c>
      <c r="D119" s="510">
        <f t="shared" si="0"/>
        <v>0</v>
      </c>
      <c r="E119" s="553">
        <f t="shared" si="5"/>
        <v>0</v>
      </c>
      <c r="F119" s="510">
        <f t="shared" si="1"/>
        <v>0</v>
      </c>
      <c r="G119" s="558">
        <f t="shared" si="2"/>
        <v>0</v>
      </c>
      <c r="H119" s="559">
        <f t="shared" si="3"/>
        <v>0</v>
      </c>
      <c r="I119" s="556">
        <f t="shared" si="4"/>
        <v>0</v>
      </c>
      <c r="J119" s="556"/>
      <c r="K119" s="576"/>
      <c r="L119" s="560"/>
      <c r="M119" s="576"/>
      <c r="N119" s="560"/>
      <c r="O119" s="560"/>
    </row>
    <row r="120" spans="3:15">
      <c r="C120" s="552" t="str">
        <f>IF(D95="","-",+C119+1)</f>
        <v>-</v>
      </c>
      <c r="D120" s="510">
        <f t="shared" si="0"/>
        <v>0</v>
      </c>
      <c r="E120" s="553">
        <f t="shared" si="5"/>
        <v>0</v>
      </c>
      <c r="F120" s="510">
        <f t="shared" si="1"/>
        <v>0</v>
      </c>
      <c r="G120" s="558">
        <f t="shared" si="2"/>
        <v>0</v>
      </c>
      <c r="H120" s="559">
        <f t="shared" si="3"/>
        <v>0</v>
      </c>
      <c r="I120" s="556">
        <f t="shared" si="4"/>
        <v>0</v>
      </c>
      <c r="J120" s="556"/>
      <c r="K120" s="576"/>
      <c r="L120" s="560"/>
      <c r="M120" s="576"/>
      <c r="N120" s="560"/>
      <c r="O120" s="560"/>
    </row>
    <row r="121" spans="3:15">
      <c r="C121" s="552" t="str">
        <f>IF(D95="","-",+C120+1)</f>
        <v>-</v>
      </c>
      <c r="D121" s="510">
        <f t="shared" si="0"/>
        <v>0</v>
      </c>
      <c r="E121" s="553">
        <f t="shared" si="5"/>
        <v>0</v>
      </c>
      <c r="F121" s="510">
        <f t="shared" si="1"/>
        <v>0</v>
      </c>
      <c r="G121" s="558">
        <f t="shared" si="2"/>
        <v>0</v>
      </c>
      <c r="H121" s="559">
        <f t="shared" si="3"/>
        <v>0</v>
      </c>
      <c r="I121" s="556">
        <f t="shared" si="4"/>
        <v>0</v>
      </c>
      <c r="J121" s="556"/>
      <c r="K121" s="576"/>
      <c r="L121" s="560"/>
      <c r="M121" s="576"/>
      <c r="N121" s="560"/>
      <c r="O121" s="560"/>
    </row>
    <row r="122" spans="3:15">
      <c r="C122" s="552" t="str">
        <f>IF(D95="","-",+C121+1)</f>
        <v>-</v>
      </c>
      <c r="D122" s="510">
        <f t="shared" si="0"/>
        <v>0</v>
      </c>
      <c r="E122" s="553">
        <f t="shared" si="5"/>
        <v>0</v>
      </c>
      <c r="F122" s="510">
        <f t="shared" si="1"/>
        <v>0</v>
      </c>
      <c r="G122" s="558">
        <f t="shared" si="2"/>
        <v>0</v>
      </c>
      <c r="H122" s="559">
        <f t="shared" si="3"/>
        <v>0</v>
      </c>
      <c r="I122" s="556">
        <f t="shared" si="4"/>
        <v>0</v>
      </c>
      <c r="J122" s="556"/>
      <c r="K122" s="576"/>
      <c r="L122" s="560"/>
      <c r="M122" s="576"/>
      <c r="N122" s="560"/>
      <c r="O122" s="560"/>
    </row>
    <row r="123" spans="3:15">
      <c r="C123" s="552" t="str">
        <f>IF(D95="","-",+C122+1)</f>
        <v>-</v>
      </c>
      <c r="D123" s="510">
        <f t="shared" si="0"/>
        <v>0</v>
      </c>
      <c r="E123" s="553">
        <f t="shared" si="5"/>
        <v>0</v>
      </c>
      <c r="F123" s="510">
        <f t="shared" si="1"/>
        <v>0</v>
      </c>
      <c r="G123" s="558">
        <f t="shared" si="2"/>
        <v>0</v>
      </c>
      <c r="H123" s="559">
        <f t="shared" si="3"/>
        <v>0</v>
      </c>
      <c r="I123" s="556">
        <f t="shared" si="4"/>
        <v>0</v>
      </c>
      <c r="J123" s="556"/>
      <c r="K123" s="576"/>
      <c r="L123" s="560"/>
      <c r="M123" s="576"/>
      <c r="N123" s="560"/>
      <c r="O123" s="560"/>
    </row>
    <row r="124" spans="3:15">
      <c r="C124" s="552" t="str">
        <f>IF(D95="","-",+C123+1)</f>
        <v>-</v>
      </c>
      <c r="D124" s="510">
        <f t="shared" si="0"/>
        <v>0</v>
      </c>
      <c r="E124" s="553">
        <f t="shared" si="5"/>
        <v>0</v>
      </c>
      <c r="F124" s="510">
        <f t="shared" si="1"/>
        <v>0</v>
      </c>
      <c r="G124" s="558">
        <f t="shared" si="2"/>
        <v>0</v>
      </c>
      <c r="H124" s="559">
        <f t="shared" si="3"/>
        <v>0</v>
      </c>
      <c r="I124" s="556">
        <f t="shared" si="4"/>
        <v>0</v>
      </c>
      <c r="J124" s="556"/>
      <c r="K124" s="576"/>
      <c r="L124" s="560"/>
      <c r="M124" s="576"/>
      <c r="N124" s="560"/>
      <c r="O124" s="560"/>
    </row>
    <row r="125" spans="3:15">
      <c r="C125" s="552" t="str">
        <f>IF(D95="","-",+C124+1)</f>
        <v>-</v>
      </c>
      <c r="D125" s="510">
        <f t="shared" si="0"/>
        <v>0</v>
      </c>
      <c r="E125" s="553">
        <f t="shared" si="5"/>
        <v>0</v>
      </c>
      <c r="F125" s="510">
        <f t="shared" si="1"/>
        <v>0</v>
      </c>
      <c r="G125" s="558">
        <f t="shared" si="2"/>
        <v>0</v>
      </c>
      <c r="H125" s="559">
        <f t="shared" si="3"/>
        <v>0</v>
      </c>
      <c r="I125" s="556">
        <f t="shared" si="4"/>
        <v>0</v>
      </c>
      <c r="J125" s="556"/>
      <c r="K125" s="576"/>
      <c r="L125" s="560"/>
      <c r="M125" s="576"/>
      <c r="N125" s="560"/>
      <c r="O125" s="560"/>
    </row>
    <row r="126" spans="3:15">
      <c r="C126" s="552" t="str">
        <f>IF(D95="","-",+C125+1)</f>
        <v>-</v>
      </c>
      <c r="D126" s="510">
        <f t="shared" si="0"/>
        <v>0</v>
      </c>
      <c r="E126" s="553">
        <f t="shared" si="5"/>
        <v>0</v>
      </c>
      <c r="F126" s="510">
        <f t="shared" si="1"/>
        <v>0</v>
      </c>
      <c r="G126" s="558">
        <f t="shared" si="2"/>
        <v>0</v>
      </c>
      <c r="H126" s="559">
        <f t="shared" si="3"/>
        <v>0</v>
      </c>
      <c r="I126" s="556">
        <f t="shared" si="4"/>
        <v>0</v>
      </c>
      <c r="J126" s="556"/>
      <c r="K126" s="576"/>
      <c r="L126" s="560"/>
      <c r="M126" s="576"/>
      <c r="N126" s="560"/>
      <c r="O126" s="560"/>
    </row>
    <row r="127" spans="3:15">
      <c r="C127" s="552" t="str">
        <f>IF(D95="","-",+C126+1)</f>
        <v>-</v>
      </c>
      <c r="D127" s="510">
        <f t="shared" si="0"/>
        <v>0</v>
      </c>
      <c r="E127" s="553">
        <f t="shared" si="5"/>
        <v>0</v>
      </c>
      <c r="F127" s="510">
        <f t="shared" si="1"/>
        <v>0</v>
      </c>
      <c r="G127" s="558">
        <f t="shared" si="2"/>
        <v>0</v>
      </c>
      <c r="H127" s="559">
        <f t="shared" si="3"/>
        <v>0</v>
      </c>
      <c r="I127" s="556">
        <f t="shared" si="4"/>
        <v>0</v>
      </c>
      <c r="J127" s="556"/>
      <c r="K127" s="576"/>
      <c r="L127" s="560"/>
      <c r="M127" s="576"/>
      <c r="N127" s="560"/>
      <c r="O127" s="560"/>
    </row>
    <row r="128" spans="3:15">
      <c r="C128" s="552" t="str">
        <f>IF(D95="","-",+C127+1)</f>
        <v>-</v>
      </c>
      <c r="D128" s="510">
        <f t="shared" si="0"/>
        <v>0</v>
      </c>
      <c r="E128" s="553">
        <f t="shared" si="5"/>
        <v>0</v>
      </c>
      <c r="F128" s="510">
        <f t="shared" si="1"/>
        <v>0</v>
      </c>
      <c r="G128" s="558">
        <f t="shared" si="2"/>
        <v>0</v>
      </c>
      <c r="H128" s="559">
        <f t="shared" si="3"/>
        <v>0</v>
      </c>
      <c r="I128" s="556">
        <f t="shared" si="4"/>
        <v>0</v>
      </c>
      <c r="J128" s="556"/>
      <c r="K128" s="576"/>
      <c r="L128" s="560"/>
      <c r="M128" s="576"/>
      <c r="N128" s="560"/>
      <c r="O128" s="560"/>
    </row>
    <row r="129" spans="3:15">
      <c r="C129" s="552" t="str">
        <f>IF(D95="","-",+C128+1)</f>
        <v>-</v>
      </c>
      <c r="D129" s="510">
        <f t="shared" si="0"/>
        <v>0</v>
      </c>
      <c r="E129" s="553">
        <f t="shared" si="5"/>
        <v>0</v>
      </c>
      <c r="F129" s="510">
        <f t="shared" si="1"/>
        <v>0</v>
      </c>
      <c r="G129" s="554">
        <f t="shared" si="2"/>
        <v>0</v>
      </c>
      <c r="H129" s="559">
        <f t="shared" si="3"/>
        <v>0</v>
      </c>
      <c r="I129" s="556">
        <f t="shared" si="4"/>
        <v>0</v>
      </c>
      <c r="J129" s="556"/>
      <c r="K129" s="576"/>
      <c r="L129" s="560"/>
      <c r="M129" s="576"/>
      <c r="N129" s="560"/>
      <c r="O129" s="560"/>
    </row>
    <row r="130" spans="3:15">
      <c r="C130" s="552" t="str">
        <f>IF(D95="","-",+C129+1)</f>
        <v>-</v>
      </c>
      <c r="D130" s="510">
        <f t="shared" si="0"/>
        <v>0</v>
      </c>
      <c r="E130" s="553">
        <f t="shared" si="5"/>
        <v>0</v>
      </c>
      <c r="F130" s="510">
        <f t="shared" si="1"/>
        <v>0</v>
      </c>
      <c r="G130" s="558">
        <f t="shared" si="2"/>
        <v>0</v>
      </c>
      <c r="H130" s="559">
        <f t="shared" si="3"/>
        <v>0</v>
      </c>
      <c r="I130" s="556">
        <f t="shared" si="4"/>
        <v>0</v>
      </c>
      <c r="J130" s="556"/>
      <c r="K130" s="576"/>
      <c r="L130" s="560"/>
      <c r="M130" s="576"/>
      <c r="N130" s="560"/>
      <c r="O130" s="560"/>
    </row>
    <row r="131" spans="3:15">
      <c r="C131" s="552" t="str">
        <f>IF(D95="","-",+C130+1)</f>
        <v>-</v>
      </c>
      <c r="D131" s="510">
        <f t="shared" si="0"/>
        <v>0</v>
      </c>
      <c r="E131" s="553">
        <f t="shared" si="5"/>
        <v>0</v>
      </c>
      <c r="F131" s="510">
        <f t="shared" si="1"/>
        <v>0</v>
      </c>
      <c r="G131" s="558">
        <f t="shared" si="2"/>
        <v>0</v>
      </c>
      <c r="H131" s="559">
        <f t="shared" si="3"/>
        <v>0</v>
      </c>
      <c r="I131" s="556">
        <f t="shared" si="4"/>
        <v>0</v>
      </c>
      <c r="J131" s="556"/>
      <c r="K131" s="576"/>
      <c r="L131" s="560"/>
      <c r="M131" s="576"/>
      <c r="N131" s="560"/>
      <c r="O131" s="560"/>
    </row>
    <row r="132" spans="3:15">
      <c r="C132" s="552" t="str">
        <f>IF(D95="","-",+C131+1)</f>
        <v>-</v>
      </c>
      <c r="D132" s="510">
        <f t="shared" si="0"/>
        <v>0</v>
      </c>
      <c r="E132" s="553">
        <f t="shared" si="5"/>
        <v>0</v>
      </c>
      <c r="F132" s="510">
        <f t="shared" si="1"/>
        <v>0</v>
      </c>
      <c r="G132" s="558">
        <f t="shared" si="2"/>
        <v>0</v>
      </c>
      <c r="H132" s="559">
        <f t="shared" si="3"/>
        <v>0</v>
      </c>
      <c r="I132" s="556">
        <f t="shared" si="4"/>
        <v>0</v>
      </c>
      <c r="J132" s="556"/>
      <c r="K132" s="576"/>
      <c r="L132" s="560"/>
      <c r="M132" s="576"/>
      <c r="N132" s="560"/>
      <c r="O132" s="560"/>
    </row>
    <row r="133" spans="3:15">
      <c r="C133" s="552" t="str">
        <f>IF(D95="","-",+C132+1)</f>
        <v>-</v>
      </c>
      <c r="D133" s="510">
        <f t="shared" si="0"/>
        <v>0</v>
      </c>
      <c r="E133" s="553">
        <f t="shared" si="5"/>
        <v>0</v>
      </c>
      <c r="F133" s="510">
        <f t="shared" si="1"/>
        <v>0</v>
      </c>
      <c r="G133" s="558">
        <f t="shared" si="2"/>
        <v>0</v>
      </c>
      <c r="H133" s="559">
        <f t="shared" si="3"/>
        <v>0</v>
      </c>
      <c r="I133" s="556">
        <f t="shared" si="4"/>
        <v>0</v>
      </c>
      <c r="J133" s="556"/>
      <c r="K133" s="576"/>
      <c r="L133" s="560"/>
      <c r="M133" s="576"/>
      <c r="N133" s="560"/>
      <c r="O133" s="560"/>
    </row>
    <row r="134" spans="3:15">
      <c r="C134" s="552" t="str">
        <f>IF(D95="","-",+C133+1)</f>
        <v>-</v>
      </c>
      <c r="D134" s="510">
        <f t="shared" si="0"/>
        <v>0</v>
      </c>
      <c r="E134" s="553">
        <f t="shared" si="5"/>
        <v>0</v>
      </c>
      <c r="F134" s="510">
        <f t="shared" si="1"/>
        <v>0</v>
      </c>
      <c r="G134" s="558">
        <f t="shared" si="2"/>
        <v>0</v>
      </c>
      <c r="H134" s="559">
        <f t="shared" si="3"/>
        <v>0</v>
      </c>
      <c r="I134" s="556">
        <f t="shared" si="4"/>
        <v>0</v>
      </c>
      <c r="J134" s="556"/>
      <c r="K134" s="576"/>
      <c r="L134" s="560"/>
      <c r="M134" s="576"/>
      <c r="N134" s="560"/>
      <c r="O134" s="560"/>
    </row>
    <row r="135" spans="3:15">
      <c r="C135" s="552" t="str">
        <f>IF(D95="","-",+C134+1)</f>
        <v>-</v>
      </c>
      <c r="D135" s="510">
        <f t="shared" si="0"/>
        <v>0</v>
      </c>
      <c r="E135" s="553">
        <f t="shared" si="5"/>
        <v>0</v>
      </c>
      <c r="F135" s="510">
        <f t="shared" si="1"/>
        <v>0</v>
      </c>
      <c r="G135" s="558">
        <f t="shared" si="2"/>
        <v>0</v>
      </c>
      <c r="H135" s="559">
        <f t="shared" si="3"/>
        <v>0</v>
      </c>
      <c r="I135" s="556">
        <f t="shared" si="4"/>
        <v>0</v>
      </c>
      <c r="J135" s="556"/>
      <c r="K135" s="576"/>
      <c r="L135" s="560"/>
      <c r="M135" s="576"/>
      <c r="N135" s="560"/>
      <c r="O135" s="560"/>
    </row>
    <row r="136" spans="3:15">
      <c r="C136" s="552" t="str">
        <f>IF(D95="","-",+C135+1)</f>
        <v>-</v>
      </c>
      <c r="D136" s="510">
        <f t="shared" si="0"/>
        <v>0</v>
      </c>
      <c r="E136" s="553">
        <f t="shared" si="5"/>
        <v>0</v>
      </c>
      <c r="F136" s="510">
        <f t="shared" si="1"/>
        <v>0</v>
      </c>
      <c r="G136" s="558">
        <f t="shared" si="2"/>
        <v>0</v>
      </c>
      <c r="H136" s="559">
        <f t="shared" si="3"/>
        <v>0</v>
      </c>
      <c r="I136" s="556">
        <f t="shared" si="4"/>
        <v>0</v>
      </c>
      <c r="J136" s="556"/>
      <c r="K136" s="576"/>
      <c r="L136" s="560"/>
      <c r="M136" s="576"/>
      <c r="N136" s="560"/>
      <c r="O136" s="560"/>
    </row>
    <row r="137" spans="3:15">
      <c r="C137" s="552" t="str">
        <f>IF(D95="","-",+C136+1)</f>
        <v>-</v>
      </c>
      <c r="D137" s="510">
        <f t="shared" si="0"/>
        <v>0</v>
      </c>
      <c r="E137" s="553">
        <f t="shared" si="5"/>
        <v>0</v>
      </c>
      <c r="F137" s="510">
        <f t="shared" si="1"/>
        <v>0</v>
      </c>
      <c r="G137" s="558">
        <f t="shared" si="2"/>
        <v>0</v>
      </c>
      <c r="H137" s="559">
        <f t="shared" si="3"/>
        <v>0</v>
      </c>
      <c r="I137" s="556">
        <f t="shared" si="4"/>
        <v>0</v>
      </c>
      <c r="J137" s="556"/>
      <c r="K137" s="576"/>
      <c r="L137" s="560"/>
      <c r="M137" s="576"/>
      <c r="N137" s="560"/>
      <c r="O137" s="560"/>
    </row>
    <row r="138" spans="3:15">
      <c r="C138" s="552" t="str">
        <f>IF(D95="","-",+C137+1)</f>
        <v>-</v>
      </c>
      <c r="D138" s="510">
        <f t="shared" si="0"/>
        <v>0</v>
      </c>
      <c r="E138" s="553">
        <f t="shared" si="5"/>
        <v>0</v>
      </c>
      <c r="F138" s="510">
        <f t="shared" si="1"/>
        <v>0</v>
      </c>
      <c r="G138" s="558">
        <f t="shared" si="2"/>
        <v>0</v>
      </c>
      <c r="H138" s="559">
        <f t="shared" si="3"/>
        <v>0</v>
      </c>
      <c r="I138" s="556">
        <f t="shared" si="4"/>
        <v>0</v>
      </c>
      <c r="J138" s="556"/>
      <c r="K138" s="576"/>
      <c r="L138" s="560"/>
      <c r="M138" s="576"/>
      <c r="N138" s="560"/>
      <c r="O138" s="560"/>
    </row>
    <row r="139" spans="3:15">
      <c r="C139" s="552" t="str">
        <f>IF(D95="","-",+C138+1)</f>
        <v>-</v>
      </c>
      <c r="D139" s="510">
        <f t="shared" si="0"/>
        <v>0</v>
      </c>
      <c r="E139" s="553">
        <f t="shared" si="5"/>
        <v>0</v>
      </c>
      <c r="F139" s="510">
        <f t="shared" si="1"/>
        <v>0</v>
      </c>
      <c r="G139" s="558">
        <f t="shared" si="2"/>
        <v>0</v>
      </c>
      <c r="H139" s="559">
        <f t="shared" si="3"/>
        <v>0</v>
      </c>
      <c r="I139" s="556">
        <f t="shared" si="4"/>
        <v>0</v>
      </c>
      <c r="J139" s="556"/>
      <c r="K139" s="576"/>
      <c r="L139" s="560"/>
      <c r="M139" s="576"/>
      <c r="N139" s="560"/>
      <c r="O139" s="560"/>
    </row>
    <row r="140" spans="3:15">
      <c r="C140" s="552" t="str">
        <f>IF(D95="","-",+C139+1)</f>
        <v>-</v>
      </c>
      <c r="D140" s="510">
        <f t="shared" si="0"/>
        <v>0</v>
      </c>
      <c r="E140" s="553">
        <f t="shared" si="5"/>
        <v>0</v>
      </c>
      <c r="F140" s="510">
        <f t="shared" si="1"/>
        <v>0</v>
      </c>
      <c r="G140" s="558">
        <f t="shared" si="2"/>
        <v>0</v>
      </c>
      <c r="H140" s="559">
        <f t="shared" si="3"/>
        <v>0</v>
      </c>
      <c r="I140" s="556">
        <f t="shared" si="4"/>
        <v>0</v>
      </c>
      <c r="J140" s="556"/>
      <c r="K140" s="576"/>
      <c r="L140" s="560"/>
      <c r="M140" s="576"/>
      <c r="N140" s="560"/>
      <c r="O140" s="560"/>
    </row>
    <row r="141" spans="3:15">
      <c r="C141" s="552" t="str">
        <f>IF(D95="","-",+C140+1)</f>
        <v>-</v>
      </c>
      <c r="D141" s="510">
        <f t="shared" si="0"/>
        <v>0</v>
      </c>
      <c r="E141" s="553">
        <f t="shared" si="5"/>
        <v>0</v>
      </c>
      <c r="F141" s="510">
        <f t="shared" si="1"/>
        <v>0</v>
      </c>
      <c r="G141" s="558">
        <f t="shared" si="2"/>
        <v>0</v>
      </c>
      <c r="H141" s="559">
        <f t="shared" si="3"/>
        <v>0</v>
      </c>
      <c r="I141" s="556">
        <f t="shared" si="4"/>
        <v>0</v>
      </c>
      <c r="J141" s="556"/>
      <c r="K141" s="576"/>
      <c r="L141" s="560"/>
      <c r="M141" s="576"/>
      <c r="N141" s="560"/>
      <c r="O141" s="560"/>
    </row>
    <row r="142" spans="3:15">
      <c r="C142" s="552" t="str">
        <f>IF(D95="","-",+C141+1)</f>
        <v>-</v>
      </c>
      <c r="D142" s="510">
        <f t="shared" si="0"/>
        <v>0</v>
      </c>
      <c r="E142" s="553">
        <f t="shared" si="5"/>
        <v>0</v>
      </c>
      <c r="F142" s="510">
        <f t="shared" si="1"/>
        <v>0</v>
      </c>
      <c r="G142" s="558">
        <f t="shared" si="2"/>
        <v>0</v>
      </c>
      <c r="H142" s="559">
        <f t="shared" si="3"/>
        <v>0</v>
      </c>
      <c r="I142" s="556">
        <f t="shared" si="4"/>
        <v>0</v>
      </c>
      <c r="J142" s="556"/>
      <c r="K142" s="576"/>
      <c r="L142" s="560"/>
      <c r="M142" s="576"/>
      <c r="N142" s="560"/>
      <c r="O142" s="560"/>
    </row>
    <row r="143" spans="3:15">
      <c r="C143" s="552" t="str">
        <f>IF(D95="","-",+C142+1)</f>
        <v>-</v>
      </c>
      <c r="D143" s="510">
        <f t="shared" si="0"/>
        <v>0</v>
      </c>
      <c r="E143" s="553">
        <f t="shared" si="5"/>
        <v>0</v>
      </c>
      <c r="F143" s="510">
        <f t="shared" si="1"/>
        <v>0</v>
      </c>
      <c r="G143" s="558">
        <f t="shared" si="2"/>
        <v>0</v>
      </c>
      <c r="H143" s="559">
        <f t="shared" si="3"/>
        <v>0</v>
      </c>
      <c r="I143" s="556">
        <f t="shared" si="4"/>
        <v>0</v>
      </c>
      <c r="J143" s="556"/>
      <c r="K143" s="576"/>
      <c r="L143" s="560"/>
      <c r="M143" s="576"/>
      <c r="N143" s="560"/>
      <c r="O143" s="560"/>
    </row>
    <row r="144" spans="3:15">
      <c r="C144" s="552" t="str">
        <f>IF(D95="","-",+C143+1)</f>
        <v>-</v>
      </c>
      <c r="D144" s="510">
        <f t="shared" si="0"/>
        <v>0</v>
      </c>
      <c r="E144" s="553">
        <f t="shared" si="5"/>
        <v>0</v>
      </c>
      <c r="F144" s="510">
        <f t="shared" si="1"/>
        <v>0</v>
      </c>
      <c r="G144" s="558">
        <f t="shared" si="2"/>
        <v>0</v>
      </c>
      <c r="H144" s="559">
        <f t="shared" si="3"/>
        <v>0</v>
      </c>
      <c r="I144" s="556">
        <f t="shared" si="4"/>
        <v>0</v>
      </c>
      <c r="J144" s="556"/>
      <c r="K144" s="576"/>
      <c r="L144" s="560"/>
      <c r="M144" s="576"/>
      <c r="N144" s="560"/>
      <c r="O144" s="560"/>
    </row>
    <row r="145" spans="3:15">
      <c r="C145" s="552" t="str">
        <f>IF(D95="","-",+C144+1)</f>
        <v>-</v>
      </c>
      <c r="D145" s="510">
        <f t="shared" si="0"/>
        <v>0</v>
      </c>
      <c r="E145" s="553">
        <f t="shared" si="5"/>
        <v>0</v>
      </c>
      <c r="F145" s="510">
        <f t="shared" si="1"/>
        <v>0</v>
      </c>
      <c r="G145" s="558">
        <f t="shared" si="2"/>
        <v>0</v>
      </c>
      <c r="H145" s="559">
        <f t="shared" si="3"/>
        <v>0</v>
      </c>
      <c r="I145" s="556">
        <f t="shared" si="4"/>
        <v>0</v>
      </c>
      <c r="J145" s="556"/>
      <c r="K145" s="576"/>
      <c r="L145" s="560"/>
      <c r="M145" s="576"/>
      <c r="N145" s="560"/>
      <c r="O145" s="560"/>
    </row>
    <row r="146" spans="3:15">
      <c r="C146" s="552" t="str">
        <f>IF(D95="","-",+C145+1)</f>
        <v>-</v>
      </c>
      <c r="D146" s="510">
        <f t="shared" si="0"/>
        <v>0</v>
      </c>
      <c r="E146" s="553">
        <f t="shared" si="5"/>
        <v>0</v>
      </c>
      <c r="F146" s="510">
        <f t="shared" si="1"/>
        <v>0</v>
      </c>
      <c r="G146" s="558">
        <f t="shared" si="2"/>
        <v>0</v>
      </c>
      <c r="H146" s="559">
        <f t="shared" si="3"/>
        <v>0</v>
      </c>
      <c r="I146" s="556">
        <f t="shared" si="4"/>
        <v>0</v>
      </c>
      <c r="J146" s="556"/>
      <c r="K146" s="576"/>
      <c r="L146" s="560"/>
      <c r="M146" s="576"/>
      <c r="N146" s="560"/>
      <c r="O146" s="560"/>
    </row>
    <row r="147" spans="3:15">
      <c r="C147" s="552" t="str">
        <f>IF(D95="","-",+C146+1)</f>
        <v>-</v>
      </c>
      <c r="D147" s="510">
        <f t="shared" si="0"/>
        <v>0</v>
      </c>
      <c r="E147" s="553">
        <f t="shared" si="5"/>
        <v>0</v>
      </c>
      <c r="F147" s="510">
        <f t="shared" si="1"/>
        <v>0</v>
      </c>
      <c r="G147" s="558">
        <f t="shared" si="2"/>
        <v>0</v>
      </c>
      <c r="H147" s="559">
        <f t="shared" si="3"/>
        <v>0</v>
      </c>
      <c r="I147" s="556">
        <f t="shared" si="4"/>
        <v>0</v>
      </c>
      <c r="J147" s="556"/>
      <c r="K147" s="576"/>
      <c r="L147" s="560"/>
      <c r="M147" s="576"/>
      <c r="N147" s="560"/>
      <c r="O147" s="560"/>
    </row>
    <row r="148" spans="3:15">
      <c r="C148" s="552" t="str">
        <f>IF(D95="","-",+C147+1)</f>
        <v>-</v>
      </c>
      <c r="D148" s="510">
        <f t="shared" si="0"/>
        <v>0</v>
      </c>
      <c r="E148" s="553">
        <f t="shared" si="5"/>
        <v>0</v>
      </c>
      <c r="F148" s="510">
        <f t="shared" si="1"/>
        <v>0</v>
      </c>
      <c r="G148" s="558">
        <f t="shared" si="2"/>
        <v>0</v>
      </c>
      <c r="H148" s="559">
        <f t="shared" si="3"/>
        <v>0</v>
      </c>
      <c r="I148" s="556">
        <f t="shared" si="4"/>
        <v>0</v>
      </c>
      <c r="J148" s="556"/>
      <c r="K148" s="576"/>
      <c r="L148" s="560"/>
      <c r="M148" s="576"/>
      <c r="N148" s="560"/>
      <c r="O148" s="560"/>
    </row>
    <row r="149" spans="3:15">
      <c r="C149" s="552" t="str">
        <f>IF(D95="","-",+C148+1)</f>
        <v>-</v>
      </c>
      <c r="D149" s="510">
        <f t="shared" si="0"/>
        <v>0</v>
      </c>
      <c r="E149" s="553">
        <f t="shared" si="5"/>
        <v>0</v>
      </c>
      <c r="F149" s="510">
        <f t="shared" si="1"/>
        <v>0</v>
      </c>
      <c r="G149" s="558">
        <f t="shared" si="2"/>
        <v>0</v>
      </c>
      <c r="H149" s="559">
        <f t="shared" si="3"/>
        <v>0</v>
      </c>
      <c r="I149" s="556">
        <f t="shared" si="4"/>
        <v>0</v>
      </c>
      <c r="J149" s="556"/>
      <c r="K149" s="576"/>
      <c r="L149" s="560"/>
      <c r="M149" s="576"/>
      <c r="N149" s="560"/>
      <c r="O149" s="560"/>
    </row>
    <row r="150" spans="3:15">
      <c r="C150" s="552" t="str">
        <f>IF(D95="","-",+C149+1)</f>
        <v>-</v>
      </c>
      <c r="D150" s="510">
        <f t="shared" si="0"/>
        <v>0</v>
      </c>
      <c r="E150" s="553">
        <f t="shared" si="5"/>
        <v>0</v>
      </c>
      <c r="F150" s="510">
        <f t="shared" si="1"/>
        <v>0</v>
      </c>
      <c r="G150" s="558">
        <f t="shared" si="2"/>
        <v>0</v>
      </c>
      <c r="H150" s="559">
        <f t="shared" si="3"/>
        <v>0</v>
      </c>
      <c r="I150" s="556">
        <f t="shared" si="4"/>
        <v>0</v>
      </c>
      <c r="J150" s="556"/>
      <c r="K150" s="576"/>
      <c r="L150" s="560"/>
      <c r="M150" s="576"/>
      <c r="N150" s="560"/>
      <c r="O150" s="560"/>
    </row>
    <row r="151" spans="3:15">
      <c r="C151" s="552" t="str">
        <f>IF(D95="","-",+C150+1)</f>
        <v>-</v>
      </c>
      <c r="D151" s="510">
        <f t="shared" si="0"/>
        <v>0</v>
      </c>
      <c r="E151" s="553">
        <f t="shared" si="5"/>
        <v>0</v>
      </c>
      <c r="F151" s="510">
        <f t="shared" si="1"/>
        <v>0</v>
      </c>
      <c r="G151" s="558">
        <f t="shared" si="2"/>
        <v>0</v>
      </c>
      <c r="H151" s="559">
        <f t="shared" si="3"/>
        <v>0</v>
      </c>
      <c r="I151" s="556">
        <f t="shared" si="4"/>
        <v>0</v>
      </c>
      <c r="J151" s="556"/>
      <c r="K151" s="576"/>
      <c r="L151" s="560"/>
      <c r="M151" s="576"/>
      <c r="N151" s="560"/>
      <c r="O151" s="560"/>
    </row>
    <row r="152" spans="3:15">
      <c r="C152" s="552" t="str">
        <f>IF(D95="","-",+C151+1)</f>
        <v>-</v>
      </c>
      <c r="D152" s="510">
        <f t="shared" si="0"/>
        <v>0</v>
      </c>
      <c r="E152" s="553">
        <f t="shared" si="5"/>
        <v>0</v>
      </c>
      <c r="F152" s="510">
        <f t="shared" si="1"/>
        <v>0</v>
      </c>
      <c r="G152" s="558">
        <f t="shared" si="2"/>
        <v>0</v>
      </c>
      <c r="H152" s="559">
        <f t="shared" si="3"/>
        <v>0</v>
      </c>
      <c r="I152" s="556">
        <f t="shared" si="4"/>
        <v>0</v>
      </c>
      <c r="J152" s="556"/>
      <c r="K152" s="576"/>
      <c r="L152" s="560"/>
      <c r="M152" s="576"/>
      <c r="N152" s="560"/>
      <c r="O152" s="560"/>
    </row>
    <row r="153" spans="3:15">
      <c r="C153" s="552" t="str">
        <f>IF(D95="","-",+C152+1)</f>
        <v>-</v>
      </c>
      <c r="D153" s="510">
        <f t="shared" si="0"/>
        <v>0</v>
      </c>
      <c r="E153" s="553">
        <f t="shared" si="5"/>
        <v>0</v>
      </c>
      <c r="F153" s="510">
        <f t="shared" si="1"/>
        <v>0</v>
      </c>
      <c r="G153" s="558">
        <f t="shared" si="2"/>
        <v>0</v>
      </c>
      <c r="H153" s="559">
        <f t="shared" si="3"/>
        <v>0</v>
      </c>
      <c r="I153" s="556">
        <f t="shared" si="4"/>
        <v>0</v>
      </c>
      <c r="J153" s="556"/>
      <c r="K153" s="576"/>
      <c r="L153" s="560"/>
      <c r="M153" s="576"/>
      <c r="N153" s="560"/>
      <c r="O153" s="560"/>
    </row>
    <row r="154" spans="3:15">
      <c r="C154" s="552" t="str">
        <f>IF(D95="","-",+C153+1)</f>
        <v>-</v>
      </c>
      <c r="D154" s="510">
        <f t="shared" si="0"/>
        <v>0</v>
      </c>
      <c r="E154" s="553">
        <f t="shared" si="5"/>
        <v>0</v>
      </c>
      <c r="F154" s="510">
        <f t="shared" si="1"/>
        <v>0</v>
      </c>
      <c r="G154" s="558">
        <f t="shared" si="2"/>
        <v>0</v>
      </c>
      <c r="H154" s="559">
        <f t="shared" si="3"/>
        <v>0</v>
      </c>
      <c r="I154" s="556">
        <f t="shared" si="4"/>
        <v>0</v>
      </c>
      <c r="J154" s="556"/>
      <c r="K154" s="576"/>
      <c r="L154" s="560"/>
      <c r="M154" s="576"/>
      <c r="N154" s="560"/>
      <c r="O154" s="560"/>
    </row>
    <row r="155" spans="3:15">
      <c r="C155" s="552" t="str">
        <f>IF(D95="","-",+C154+1)</f>
        <v>-</v>
      </c>
      <c r="D155" s="510">
        <f t="shared" si="0"/>
        <v>0</v>
      </c>
      <c r="E155" s="553">
        <f t="shared" si="5"/>
        <v>0</v>
      </c>
      <c r="F155" s="510">
        <f t="shared" si="1"/>
        <v>0</v>
      </c>
      <c r="G155" s="558">
        <f t="shared" si="2"/>
        <v>0</v>
      </c>
      <c r="H155" s="559">
        <f t="shared" si="3"/>
        <v>0</v>
      </c>
      <c r="I155" s="556">
        <f t="shared" si="4"/>
        <v>0</v>
      </c>
      <c r="J155" s="556"/>
      <c r="K155" s="576"/>
      <c r="L155" s="560"/>
      <c r="M155" s="576"/>
      <c r="N155" s="560"/>
      <c r="O155" s="560"/>
    </row>
    <row r="156" spans="3:15">
      <c r="C156" s="552" t="str">
        <f>IF(D95="","-",+C155+1)</f>
        <v>-</v>
      </c>
      <c r="D156" s="510">
        <f t="shared" si="0"/>
        <v>0</v>
      </c>
      <c r="E156" s="553">
        <f t="shared" si="5"/>
        <v>0</v>
      </c>
      <c r="F156" s="510">
        <f t="shared" si="1"/>
        <v>0</v>
      </c>
      <c r="G156" s="558">
        <f t="shared" si="2"/>
        <v>0</v>
      </c>
      <c r="H156" s="559">
        <f t="shared" si="3"/>
        <v>0</v>
      </c>
      <c r="I156" s="556">
        <f t="shared" si="4"/>
        <v>0</v>
      </c>
      <c r="J156" s="556"/>
      <c r="K156" s="576"/>
      <c r="L156" s="560"/>
      <c r="M156" s="576"/>
      <c r="N156" s="560"/>
      <c r="O156" s="560"/>
    </row>
    <row r="157" spans="3:15">
      <c r="C157" s="552" t="str">
        <f>IF(D95="","-",+C156+1)</f>
        <v>-</v>
      </c>
      <c r="D157" s="510">
        <f t="shared" si="0"/>
        <v>0</v>
      </c>
      <c r="E157" s="553">
        <f t="shared" si="5"/>
        <v>0</v>
      </c>
      <c r="F157" s="510">
        <f t="shared" si="1"/>
        <v>0</v>
      </c>
      <c r="G157" s="558">
        <f t="shared" si="2"/>
        <v>0</v>
      </c>
      <c r="H157" s="559">
        <f t="shared" si="3"/>
        <v>0</v>
      </c>
      <c r="I157" s="556">
        <f t="shared" si="4"/>
        <v>0</v>
      </c>
      <c r="J157" s="556"/>
      <c r="K157" s="576"/>
      <c r="L157" s="560"/>
      <c r="M157" s="576"/>
      <c r="N157" s="560"/>
      <c r="O157" s="560"/>
    </row>
    <row r="158" spans="3:15">
      <c r="C158" s="552" t="str">
        <f>IF(D95="","-",+C157+1)</f>
        <v>-</v>
      </c>
      <c r="D158" s="510">
        <f t="shared" si="0"/>
        <v>0</v>
      </c>
      <c r="E158" s="553">
        <f t="shared" si="5"/>
        <v>0</v>
      </c>
      <c r="F158" s="510">
        <f t="shared" si="1"/>
        <v>0</v>
      </c>
      <c r="G158" s="558">
        <f t="shared" si="2"/>
        <v>0</v>
      </c>
      <c r="H158" s="559">
        <f t="shared" si="3"/>
        <v>0</v>
      </c>
      <c r="I158" s="556">
        <f t="shared" si="4"/>
        <v>0</v>
      </c>
      <c r="J158" s="556"/>
      <c r="K158" s="576"/>
      <c r="L158" s="560"/>
      <c r="M158" s="576"/>
      <c r="N158" s="560"/>
      <c r="O158" s="560"/>
    </row>
    <row r="159" spans="3:15">
      <c r="C159" s="552" t="str">
        <f>IF(D95="","-",+C158+1)</f>
        <v>-</v>
      </c>
      <c r="D159" s="510">
        <f t="shared" si="0"/>
        <v>0</v>
      </c>
      <c r="E159" s="553">
        <f t="shared" si="5"/>
        <v>0</v>
      </c>
      <c r="F159" s="510">
        <f t="shared" si="1"/>
        <v>0</v>
      </c>
      <c r="G159" s="558">
        <f t="shared" si="2"/>
        <v>0</v>
      </c>
      <c r="H159" s="559">
        <f t="shared" si="3"/>
        <v>0</v>
      </c>
      <c r="I159" s="556">
        <f t="shared" si="4"/>
        <v>0</v>
      </c>
      <c r="J159" s="556"/>
      <c r="K159" s="576"/>
      <c r="L159" s="560"/>
      <c r="M159" s="576"/>
      <c r="N159" s="560"/>
      <c r="O159" s="560"/>
    </row>
    <row r="160" spans="3:15" ht="13.5" thickBot="1">
      <c r="C160" s="562" t="str">
        <f>IF(D95="","-",+C159+1)</f>
        <v>-</v>
      </c>
      <c r="D160" s="563">
        <f t="shared" si="0"/>
        <v>0</v>
      </c>
      <c r="E160" s="564">
        <f t="shared" si="5"/>
        <v>0</v>
      </c>
      <c r="F160" s="563">
        <f t="shared" si="1"/>
        <v>0</v>
      </c>
      <c r="G160" s="565">
        <f t="shared" si="2"/>
        <v>0</v>
      </c>
      <c r="H160" s="565">
        <f t="shared" si="3"/>
        <v>0</v>
      </c>
      <c r="I160" s="566">
        <f t="shared" si="4"/>
        <v>0</v>
      </c>
      <c r="J160" s="556"/>
      <c r="K160" s="577"/>
      <c r="L160" s="567"/>
      <c r="M160" s="577"/>
      <c r="N160" s="567"/>
      <c r="O160" s="567"/>
    </row>
    <row r="161" spans="3:15">
      <c r="C161" s="510" t="s">
        <v>91</v>
      </c>
      <c r="D161" s="507"/>
      <c r="E161" s="507">
        <f>SUM(E101:E160)</f>
        <v>0</v>
      </c>
      <c r="F161" s="507"/>
      <c r="G161" s="507">
        <f>SUM(G101:G160)</f>
        <v>0</v>
      </c>
      <c r="H161" s="507">
        <f>SUM(H101:H160)</f>
        <v>0</v>
      </c>
      <c r="I161" s="507">
        <f>SUM(I101:I160)</f>
        <v>0</v>
      </c>
      <c r="J161" s="507"/>
      <c r="K161" s="507"/>
      <c r="L161" s="507"/>
      <c r="M161" s="507"/>
      <c r="N161" s="507"/>
      <c r="O161" s="3"/>
    </row>
    <row r="162" spans="3:15">
      <c r="D162" s="47"/>
      <c r="E162" s="3"/>
      <c r="F162" s="3"/>
      <c r="G162" s="3"/>
      <c r="H162" s="494"/>
      <c r="I162" s="494"/>
      <c r="J162" s="507"/>
      <c r="K162" s="494"/>
      <c r="L162" s="494"/>
      <c r="M162" s="494"/>
      <c r="N162" s="494"/>
      <c r="O162" s="3"/>
    </row>
    <row r="163" spans="3:15">
      <c r="C163" s="3" t="s">
        <v>13</v>
      </c>
      <c r="D163" s="47"/>
      <c r="E163" s="3"/>
      <c r="F163" s="3"/>
      <c r="G163" s="3"/>
      <c r="H163" s="494"/>
      <c r="I163" s="494"/>
      <c r="J163" s="507"/>
      <c r="K163" s="494"/>
      <c r="L163" s="494"/>
      <c r="M163" s="494"/>
      <c r="N163" s="494"/>
      <c r="O163" s="3"/>
    </row>
    <row r="164" spans="3:15">
      <c r="C164" s="3"/>
      <c r="D164" s="47"/>
      <c r="E164" s="3"/>
      <c r="F164" s="3"/>
      <c r="G164" s="3"/>
      <c r="H164" s="494"/>
      <c r="I164" s="494"/>
      <c r="J164" s="507"/>
      <c r="K164" s="494"/>
      <c r="L164" s="494"/>
      <c r="M164" s="494"/>
      <c r="N164" s="494"/>
      <c r="O164" s="3"/>
    </row>
    <row r="165" spans="3:15">
      <c r="C165" s="522" t="s">
        <v>14</v>
      </c>
      <c r="D165" s="510"/>
      <c r="E165" s="510"/>
      <c r="F165" s="510"/>
      <c r="G165" s="507"/>
      <c r="H165" s="507"/>
      <c r="I165" s="568"/>
      <c r="J165" s="568"/>
      <c r="K165" s="568"/>
      <c r="L165" s="568"/>
      <c r="M165" s="568"/>
      <c r="N165" s="568"/>
      <c r="O165" s="3"/>
    </row>
    <row r="166" spans="3:15">
      <c r="C166" s="511" t="s">
        <v>271</v>
      </c>
      <c r="D166" s="510"/>
      <c r="E166" s="510"/>
      <c r="F166" s="510"/>
      <c r="G166" s="507"/>
      <c r="H166" s="507"/>
      <c r="I166" s="568"/>
      <c r="J166" s="568"/>
      <c r="K166" s="568"/>
      <c r="L166" s="568"/>
      <c r="M166" s="568"/>
      <c r="N166" s="568"/>
      <c r="O166" s="3"/>
    </row>
    <row r="167" spans="3:15">
      <c r="C167" s="511" t="s">
        <v>92</v>
      </c>
      <c r="D167" s="510"/>
      <c r="E167" s="510"/>
      <c r="F167" s="510"/>
      <c r="G167" s="507"/>
      <c r="H167" s="507"/>
      <c r="I167" s="568"/>
      <c r="J167" s="568"/>
      <c r="K167" s="568"/>
      <c r="L167" s="568"/>
      <c r="M167" s="568"/>
      <c r="N167" s="568"/>
      <c r="O167" s="3"/>
    </row>
    <row r="168" spans="3:15">
      <c r="C168" s="511"/>
      <c r="D168" s="510"/>
      <c r="E168" s="510"/>
      <c r="F168" s="510"/>
      <c r="G168" s="507"/>
      <c r="H168" s="507"/>
      <c r="I168" s="568"/>
      <c r="J168" s="568"/>
      <c r="K168" s="568"/>
      <c r="L168" s="568"/>
      <c r="M168" s="568"/>
      <c r="N168" s="568"/>
      <c r="O168" s="3"/>
    </row>
    <row r="169" spans="3:15">
      <c r="C169" s="1189" t="s">
        <v>6</v>
      </c>
      <c r="D169" s="1189"/>
      <c r="E169" s="1189"/>
      <c r="F169" s="1189"/>
      <c r="G169" s="1189"/>
      <c r="H169" s="1189"/>
      <c r="I169" s="1189"/>
      <c r="J169" s="1189"/>
      <c r="K169" s="1189"/>
      <c r="L169" s="1189"/>
      <c r="M169" s="1189"/>
      <c r="N169" s="1189"/>
      <c r="O169" s="1189"/>
    </row>
    <row r="170" spans="3:15">
      <c r="C170" s="1189"/>
      <c r="D170" s="1189"/>
      <c r="E170" s="1189"/>
      <c r="F170" s="1189"/>
      <c r="G170" s="1189"/>
      <c r="H170" s="1189"/>
      <c r="I170" s="1189"/>
      <c r="J170" s="1189"/>
      <c r="K170" s="1189"/>
      <c r="L170" s="1189"/>
      <c r="M170" s="1189"/>
      <c r="N170" s="1189"/>
      <c r="O170" s="1189"/>
    </row>
  </sheetData>
  <mergeCells count="10">
    <mergeCell ref="D90:I90"/>
    <mergeCell ref="C169:O170"/>
    <mergeCell ref="K94:O94"/>
    <mergeCell ref="A3:O3"/>
    <mergeCell ref="C11:H12"/>
    <mergeCell ref="A4:O4"/>
    <mergeCell ref="A5:O5"/>
    <mergeCell ref="A6:O6"/>
    <mergeCell ref="I77:O80"/>
    <mergeCell ref="K22:O23"/>
  </mergeCells>
  <phoneticPr fontId="0" type="noConversion"/>
  <conditionalFormatting sqref="C101:C160">
    <cfRule type="cellIs" dxfId="4" priority="11" stopIfTrue="1" operator="equal">
      <formula>$I$92</formula>
    </cfRule>
  </conditionalFormatting>
  <pageMargins left="0.25" right="0.25" top="1" bottom="1" header="0.75" footer="0.5"/>
  <pageSetup scale="38" orientation="landscape" r:id="rId1"/>
  <headerFooter alignWithMargins="0">
    <oddHeader>&amp;R&amp;"Arial,Bold"Formula Rate 
&amp;A
Page &amp;P of &amp;N</oddHeader>
  </headerFooter>
  <rowBreaks count="1" manualBreakCount="1">
    <brk id="80" max="1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Q166"/>
  <sheetViews>
    <sheetView tabSelected="1" view="pageBreakPreview" zoomScale="70" zoomScaleNormal="70" zoomScaleSheetLayoutView="70" workbookViewId="0">
      <selection activeCell="B7" sqref="B7"/>
    </sheetView>
  </sheetViews>
  <sheetFormatPr defaultColWidth="8.85546875" defaultRowHeight="12.75"/>
  <cols>
    <col min="1" max="1" width="4.7109375" customWidth="1"/>
    <col min="2" max="2" width="6.7109375" customWidth="1"/>
    <col min="3" max="3" width="20.7109375" customWidth="1"/>
    <col min="4" max="4" width="22" style="1" customWidth="1"/>
    <col min="5" max="5" width="19.28515625" customWidth="1"/>
    <col min="6" max="8" width="17.7109375" customWidth="1"/>
    <col min="9" max="9" width="17.7109375" style="347" customWidth="1"/>
    <col min="10" max="10" width="17.7109375" bestFit="1" customWidth="1"/>
    <col min="11" max="11" width="2.140625" customWidth="1"/>
    <col min="12" max="12" width="17.7109375" style="3" customWidth="1"/>
    <col min="13" max="13" width="36.42578125" style="3" customWidth="1"/>
    <col min="14" max="14" width="17.7109375" style="3" customWidth="1"/>
    <col min="15" max="15" width="23.42578125" style="3" customWidth="1"/>
    <col min="16" max="16" width="16.7109375" style="3" customWidth="1"/>
    <col min="17" max="17" width="5" customWidth="1"/>
  </cols>
  <sheetData>
    <row r="1" spans="1:17" ht="15.75">
      <c r="A1" s="744" t="s">
        <v>416</v>
      </c>
    </row>
    <row r="2" spans="1:17" ht="15.75">
      <c r="A2" s="744" t="s">
        <v>416</v>
      </c>
    </row>
    <row r="3" spans="1:17" ht="15">
      <c r="A3" s="1146" t="str">
        <f>TCOS!$F$5</f>
        <v>AEPTCo subsidiaries in PJM</v>
      </c>
      <c r="B3" s="1146" t="str">
        <f>TCOS!$F$5</f>
        <v>AEPTCo subsidiaries in PJM</v>
      </c>
      <c r="C3" s="1146" t="str">
        <f>TCOS!$F$5</f>
        <v>AEPTCo subsidiaries in PJM</v>
      </c>
      <c r="D3" s="1146" t="str">
        <f>TCOS!$F$5</f>
        <v>AEPTCo subsidiaries in PJM</v>
      </c>
      <c r="E3" s="1146" t="str">
        <f>TCOS!$F$5</f>
        <v>AEPTCo subsidiaries in PJM</v>
      </c>
      <c r="F3" s="1146" t="str">
        <f>TCOS!$F$5</f>
        <v>AEPTCo subsidiaries in PJM</v>
      </c>
      <c r="G3" s="1146" t="str">
        <f>TCOS!$F$5</f>
        <v>AEPTCo subsidiaries in PJM</v>
      </c>
      <c r="H3" s="1146" t="str">
        <f>TCOS!$F$5</f>
        <v>AEPTCo subsidiaries in PJM</v>
      </c>
      <c r="I3" s="1146" t="str">
        <f>TCOS!$F$5</f>
        <v>AEPTCo subsidiaries in PJM</v>
      </c>
      <c r="J3" s="1146" t="str">
        <f>TCOS!$F$5</f>
        <v>AEPTCo subsidiaries in PJM</v>
      </c>
      <c r="K3" s="1146" t="str">
        <f>TCOS!$F$5</f>
        <v>AEPTCo subsidiaries in PJM</v>
      </c>
      <c r="L3" s="1146" t="str">
        <f>TCOS!$F$5</f>
        <v>AEPTCo subsidiaries in PJM</v>
      </c>
      <c r="M3" s="1146" t="str">
        <f>TCOS!$F$5</f>
        <v>AEPTCo subsidiaries in PJM</v>
      </c>
      <c r="N3" s="1146" t="str">
        <f>TCOS!$F$5</f>
        <v>AEPTCo subsidiaries in PJM</v>
      </c>
      <c r="O3" s="1146" t="str">
        <f>TCOS!$F$5</f>
        <v>AEPTCo subsidiaries in PJM</v>
      </c>
      <c r="P3" s="1146" t="str">
        <f>TCOS!$F$5</f>
        <v>AEPTCo subsidiaries in PJM</v>
      </c>
    </row>
    <row r="4" spans="1:17" ht="15">
      <c r="A4" s="1147" t="str">
        <f>"Cost of Service Formula Rate Using Actual/Projected FF1 Balances"</f>
        <v>Cost of Service Formula Rate Using Actual/Projected FF1 Balances</v>
      </c>
      <c r="B4" s="1147"/>
      <c r="C4" s="1147"/>
      <c r="D4" s="1147"/>
      <c r="E4" s="1147"/>
      <c r="F4" s="1147"/>
      <c r="G4" s="1147"/>
      <c r="H4" s="1147"/>
      <c r="I4" s="1147"/>
      <c r="J4" s="1147"/>
      <c r="K4" s="1147"/>
      <c r="L4" s="1147"/>
      <c r="M4" s="1147"/>
      <c r="N4" s="1147"/>
      <c r="O4" s="1147"/>
      <c r="P4" s="1147"/>
    </row>
    <row r="5" spans="1:17" ht="15">
      <c r="A5" s="1147" t="s">
        <v>265</v>
      </c>
      <c r="B5" s="1147"/>
      <c r="C5" s="1147"/>
      <c r="D5" s="1147"/>
      <c r="E5" s="1147"/>
      <c r="F5" s="1147"/>
      <c r="G5" s="1147"/>
      <c r="H5" s="1147"/>
      <c r="I5" s="1147"/>
      <c r="J5" s="1147"/>
      <c r="K5" s="1147"/>
      <c r="L5" s="1147"/>
      <c r="M5" s="1147"/>
      <c r="N5" s="1147"/>
      <c r="O5" s="1147"/>
      <c r="P5" s="1147"/>
    </row>
    <row r="6" spans="1:17" ht="15">
      <c r="A6" s="1154" t="str">
        <f>TCOS!F9</f>
        <v>AEP Kentucky Transmission Company</v>
      </c>
      <c r="B6" s="1154"/>
      <c r="C6" s="1154"/>
      <c r="D6" s="1154"/>
      <c r="E6" s="1154"/>
      <c r="F6" s="1154"/>
      <c r="G6" s="1154"/>
      <c r="H6" s="1154"/>
      <c r="I6" s="1154"/>
      <c r="J6" s="1154"/>
      <c r="K6" s="1154"/>
      <c r="L6" s="1154"/>
      <c r="M6" s="1154"/>
      <c r="N6" s="1154"/>
      <c r="O6" s="1154"/>
      <c r="P6" s="1154"/>
    </row>
    <row r="8" spans="1:17" ht="20.25">
      <c r="A8" s="451"/>
      <c r="O8" s="403" t="str">
        <f>"Page "&amp;Q8&amp;" of "</f>
        <v xml:space="preserve">Page 1 of </v>
      </c>
      <c r="P8" s="452">
        <f>COUNT(Q$8:Q$57702)</f>
        <v>2</v>
      </c>
      <c r="Q8" s="403">
        <v>1</v>
      </c>
    </row>
    <row r="9" spans="1:17" ht="18">
      <c r="C9" s="6"/>
    </row>
    <row r="11" spans="1:17" ht="18">
      <c r="B11" s="453" t="s">
        <v>471</v>
      </c>
      <c r="C11" s="1191" t="str">
        <f>"Calculate Return and Income Taxes with "&amp;F17&amp;" basis point ROE increase for Projects Qualified for Regional Billing."</f>
        <v>Calculate Return and Income Taxes with 0 basis point ROE increase for Projects Qualified for Regional Billing.</v>
      </c>
      <c r="D11" s="1192"/>
      <c r="E11" s="1192"/>
      <c r="F11" s="1192"/>
      <c r="G11" s="1192"/>
      <c r="H11" s="1192"/>
      <c r="I11" s="1192"/>
    </row>
    <row r="12" spans="1:17" ht="18.75" customHeight="1">
      <c r="C12" s="1192"/>
      <c r="D12" s="1192"/>
      <c r="E12" s="1192"/>
      <c r="F12" s="1192"/>
      <c r="G12" s="1192"/>
      <c r="H12" s="1192"/>
      <c r="I12" s="1192"/>
    </row>
    <row r="13" spans="1:17" ht="15.75" customHeight="1">
      <c r="C13" s="454"/>
      <c r="D13" s="454"/>
      <c r="E13" s="454"/>
      <c r="F13" s="454"/>
      <c r="G13" s="454"/>
      <c r="H13" s="454"/>
      <c r="I13" s="454"/>
    </row>
    <row r="14" spans="1:17" ht="15.75">
      <c r="C14" s="455" t="str">
        <f>"A.   Determine 'R' with hypothetical "&amp;F17&amp;" basis point increase in ROE for Identified Projects"</f>
        <v>A.   Determine 'R' with hypothetical 0 basis point increase in ROE for Identified Projects</v>
      </c>
      <c r="D14" s="167"/>
    </row>
    <row r="15" spans="1:17">
      <c r="C15" s="41"/>
      <c r="D15" s="167"/>
    </row>
    <row r="16" spans="1:17">
      <c r="C16" s="456" t="str">
        <f>"   ROE w/o incentives  (TCOS, ln "&amp;TCOS!B251&amp;")"</f>
        <v xml:space="preserve">   ROE w/o incentives  (TCOS, ln 138)</v>
      </c>
      <c r="D16" s="167"/>
      <c r="E16" s="457"/>
      <c r="F16" s="578">
        <f>TCOS!J251</f>
        <v>0.10349999999999999</v>
      </c>
      <c r="G16" s="578"/>
      <c r="H16" s="457"/>
      <c r="I16" s="459"/>
      <c r="J16" s="459"/>
      <c r="K16" s="459"/>
      <c r="L16" s="459"/>
      <c r="M16" s="459"/>
      <c r="N16" s="459"/>
      <c r="O16" s="459"/>
      <c r="P16" s="459"/>
      <c r="Q16" s="459"/>
    </row>
    <row r="17" spans="3:17" ht="13.5" thickBot="1">
      <c r="C17" s="456" t="s">
        <v>50</v>
      </c>
      <c r="D17" s="167"/>
      <c r="E17" s="457"/>
      <c r="F17" s="569">
        <v>0</v>
      </c>
      <c r="G17" s="457"/>
      <c r="H17" s="457"/>
      <c r="I17" s="459"/>
      <c r="J17" s="459"/>
      <c r="K17" s="459"/>
      <c r="L17" s="459"/>
      <c r="M17" s="459"/>
      <c r="N17" s="459"/>
      <c r="O17" s="459"/>
      <c r="P17" s="459"/>
    </row>
    <row r="18" spans="3:17">
      <c r="C18" s="456" t="str">
        <f>"   ROE with additional "&amp;F17&amp;" basis point incentive"</f>
        <v xml:space="preserve">   ROE with additional 0 basis point incentive</v>
      </c>
      <c r="D18" s="457"/>
      <c r="E18" s="457"/>
      <c r="F18" s="460">
        <f>IF((F16+(F17/10000)&gt;0.125),"ERROR",F16+(F17/10000))</f>
        <v>0.10349999999999999</v>
      </c>
      <c r="G18" s="461"/>
      <c r="H18" s="457"/>
      <c r="I18" s="459"/>
      <c r="J18" s="459"/>
      <c r="K18" s="459"/>
      <c r="L18" s="579" t="s">
        <v>242</v>
      </c>
      <c r="M18" s="580"/>
      <c r="N18" s="580"/>
      <c r="O18" s="580"/>
      <c r="P18" s="581"/>
    </row>
    <row r="19" spans="3:17">
      <c r="C19" s="456" t="str">
        <f>"   Determine R  ( cost of long term debt, cost of preferred stock and equity percentage is from the True-Up TCOS, lns "&amp;TCOS!B249&amp;" through "&amp;TCOS!B251&amp;")"</f>
        <v xml:space="preserve">   Determine R  ( cost of long term debt, cost of preferred stock and equity percentage is from the True-Up TCOS, lns 136 through 138)</v>
      </c>
      <c r="D19" s="167"/>
      <c r="E19" s="457"/>
      <c r="F19" s="462"/>
      <c r="G19" s="462"/>
      <c r="H19" s="457"/>
      <c r="I19" s="459"/>
      <c r="J19" s="459"/>
      <c r="K19" s="459"/>
      <c r="L19" s="582"/>
      <c r="M19" s="459"/>
      <c r="N19" s="459" t="s">
        <v>52</v>
      </c>
      <c r="O19" s="459" t="s">
        <v>53</v>
      </c>
      <c r="P19" s="583" t="s">
        <v>55</v>
      </c>
    </row>
    <row r="20" spans="3:17">
      <c r="C20" s="459"/>
      <c r="D20" s="463" t="s">
        <v>446</v>
      </c>
      <c r="E20" s="463" t="s">
        <v>445</v>
      </c>
      <c r="F20" s="464" t="s">
        <v>51</v>
      </c>
      <c r="G20" s="464"/>
      <c r="H20" s="457"/>
      <c r="I20" s="459"/>
      <c r="J20" s="459"/>
      <c r="K20" s="459"/>
      <c r="L20" s="582" t="s">
        <v>240</v>
      </c>
      <c r="M20" s="584" t="str">
        <f>+TCOS!O3</f>
        <v xml:space="preserve"> </v>
      </c>
      <c r="P20" s="585"/>
    </row>
    <row r="21" spans="3:17">
      <c r="C21" s="465" t="s">
        <v>56</v>
      </c>
      <c r="D21" s="586">
        <f>TCOS!I249</f>
        <v>0.45108451093993002</v>
      </c>
      <c r="E21" s="466">
        <f>TCOS!J249</f>
        <v>3.7669129322660096E-2</v>
      </c>
      <c r="F21" s="467">
        <f>E21*D21</f>
        <v>1.6991960778045108E-2</v>
      </c>
      <c r="G21" s="467"/>
      <c r="H21" s="457"/>
      <c r="I21" s="459"/>
      <c r="J21" s="468"/>
      <c r="K21" s="468"/>
      <c r="L21" s="532"/>
      <c r="M21" s="47" t="s">
        <v>241</v>
      </c>
      <c r="N21" s="699">
        <f>M88</f>
        <v>4764985.4899237761</v>
      </c>
      <c r="O21" s="699">
        <f>N88</f>
        <v>4764985.4899237761</v>
      </c>
      <c r="P21" s="587">
        <f>+O21-N21</f>
        <v>0</v>
      </c>
    </row>
    <row r="22" spans="3:17" ht="13.5" thickBot="1">
      <c r="C22" s="465" t="s">
        <v>57</v>
      </c>
      <c r="D22" s="586">
        <f>TCOS!I250</f>
        <v>0</v>
      </c>
      <c r="E22" s="466">
        <f>TCOS!J250</f>
        <v>0</v>
      </c>
      <c r="F22" s="467">
        <f>E22*D22</f>
        <v>0</v>
      </c>
      <c r="G22" s="467"/>
      <c r="H22" s="469"/>
      <c r="I22" s="469"/>
      <c r="J22" s="470"/>
      <c r="K22" s="470"/>
      <c r="L22" s="532"/>
      <c r="M22" s="47" t="s">
        <v>622</v>
      </c>
      <c r="N22" s="700">
        <f>M89</f>
        <v>4954013.254648407</v>
      </c>
      <c r="O22" s="700">
        <f>N89</f>
        <v>4954013.254648407</v>
      </c>
      <c r="P22" s="588">
        <f>+O22-N22</f>
        <v>0</v>
      </c>
      <c r="Q22" s="470"/>
    </row>
    <row r="23" spans="3:17">
      <c r="C23" s="465" t="s">
        <v>29</v>
      </c>
      <c r="D23" s="586">
        <f>TCOS!I251</f>
        <v>0.54891548906006993</v>
      </c>
      <c r="E23" s="466">
        <f>+F18</f>
        <v>0.10349999999999999</v>
      </c>
      <c r="F23" s="471">
        <f>E23*D23</f>
        <v>5.6812753117717232E-2</v>
      </c>
      <c r="G23" s="471"/>
      <c r="H23" s="469"/>
      <c r="I23" s="469"/>
      <c r="J23" s="470"/>
      <c r="K23" s="470"/>
      <c r="L23" s="532"/>
      <c r="M23" s="47" t="str">
        <f>"True-up of ARR For "&amp;TCOS!L4&amp;""</f>
        <v>True-up of ARR For 2025</v>
      </c>
      <c r="N23" s="510">
        <f>+N22-N21</f>
        <v>189027.76472463086</v>
      </c>
      <c r="O23" s="510">
        <f>+O22-O21</f>
        <v>189027.76472463086</v>
      </c>
      <c r="P23" s="589">
        <f>+P22-P21</f>
        <v>0</v>
      </c>
      <c r="Q23" s="470"/>
    </row>
    <row r="24" spans="3:17">
      <c r="C24" s="456"/>
      <c r="D24"/>
      <c r="E24" s="472" t="s">
        <v>58</v>
      </c>
      <c r="F24" s="467">
        <f>SUM(F21:F23)</f>
        <v>7.3804713895762347E-2</v>
      </c>
      <c r="G24" s="467"/>
      <c r="H24" s="469"/>
      <c r="I24" s="469"/>
      <c r="J24" s="470"/>
      <c r="K24" s="470"/>
      <c r="L24" s="532"/>
      <c r="P24" s="585"/>
      <c r="Q24" s="470"/>
    </row>
    <row r="25" spans="3:17" ht="13.5" thickBot="1">
      <c r="C25" s="41"/>
      <c r="D25" s="477"/>
      <c r="E25" s="477"/>
      <c r="F25" s="469"/>
      <c r="G25" s="469"/>
      <c r="H25" s="469"/>
      <c r="I25" s="469"/>
      <c r="J25" s="469"/>
      <c r="K25" s="469"/>
      <c r="L25" s="590"/>
      <c r="M25" s="591"/>
      <c r="N25" s="592"/>
      <c r="O25" s="592"/>
      <c r="P25" s="588"/>
      <c r="Q25" s="469"/>
    </row>
    <row r="26" spans="3:17" ht="15.75">
      <c r="C26" s="455" t="str">
        <f>"B.   Determine Return using 'R' with hypothetical "&amp;F17&amp;" basis point ROE increase for Identified Projects."</f>
        <v>B.   Determine Return using 'R' with hypothetical 0 basis point ROE increase for Identified Projects.</v>
      </c>
      <c r="D26" s="477"/>
      <c r="E26" s="477"/>
      <c r="F26" s="469"/>
      <c r="G26" s="469"/>
      <c r="H26" s="469"/>
      <c r="I26" s="457"/>
      <c r="J26" s="469"/>
      <c r="K26" s="469"/>
      <c r="L26" s="469"/>
      <c r="M26" s="469"/>
      <c r="N26" s="469"/>
      <c r="O26" s="469"/>
      <c r="P26" s="469"/>
      <c r="Q26" s="469"/>
    </row>
    <row r="27" spans="3:17">
      <c r="C27" s="459"/>
      <c r="D27" s="477"/>
      <c r="E27" s="477"/>
      <c r="F27" s="469"/>
      <c r="G27" s="469"/>
      <c r="H27" s="469"/>
      <c r="I27" s="469"/>
      <c r="J27" s="469"/>
      <c r="K27" s="469"/>
      <c r="L27" s="469"/>
      <c r="M27" s="469"/>
      <c r="N27" s="469"/>
      <c r="O27" s="469"/>
      <c r="P27" s="469"/>
      <c r="Q27" s="469"/>
    </row>
    <row r="28" spans="3:17">
      <c r="C28" s="456" t="str">
        <f>"   Rate Base  (True-Up TCOS, ln "&amp;TCOS!B118&amp;")"</f>
        <v xml:space="preserve">   Rate Base  (True-Up TCOS, ln 58)</v>
      </c>
      <c r="D28" s="457"/>
      <c r="E28" s="485">
        <f>TCOS!L118</f>
        <v>133616854.92660886</v>
      </c>
      <c r="F28" s="492"/>
      <c r="G28" s="492"/>
      <c r="H28" s="469"/>
      <c r="I28" s="469"/>
      <c r="J28" s="469"/>
      <c r="K28" s="469"/>
      <c r="L28" s="469"/>
      <c r="M28" s="469"/>
      <c r="N28" s="469"/>
      <c r="O28" s="469"/>
      <c r="P28" s="492"/>
      <c r="Q28" s="469"/>
    </row>
    <row r="29" spans="3:17">
      <c r="C29" s="459" t="s">
        <v>60</v>
      </c>
      <c r="D29" s="487"/>
      <c r="E29" s="467">
        <f>F24</f>
        <v>7.3804713895762347E-2</v>
      </c>
      <c r="F29" s="469"/>
      <c r="G29" s="469"/>
      <c r="H29" s="469"/>
      <c r="I29" s="469"/>
      <c r="J29" s="469"/>
      <c r="K29" s="469"/>
      <c r="L29" s="469"/>
      <c r="M29" s="469"/>
      <c r="N29" s="469"/>
      <c r="O29" s="469"/>
      <c r="P29" s="469"/>
      <c r="Q29" s="469"/>
    </row>
    <row r="30" spans="3:17">
      <c r="C30" s="488" t="s">
        <v>61</v>
      </c>
      <c r="D30" s="488"/>
      <c r="E30" s="470">
        <f>E28*E29</f>
        <v>9861553.7495099511</v>
      </c>
      <c r="F30" s="469"/>
      <c r="G30" s="469"/>
      <c r="H30" s="469"/>
      <c r="I30" s="469"/>
      <c r="J30" s="470"/>
      <c r="K30" s="470"/>
      <c r="L30" s="470"/>
      <c r="M30" s="470"/>
      <c r="N30" s="470"/>
      <c r="O30" s="470"/>
      <c r="P30" s="469"/>
      <c r="Q30" s="470"/>
    </row>
    <row r="31" spans="3:17">
      <c r="C31" s="488"/>
      <c r="D31" s="459"/>
      <c r="E31" s="459"/>
      <c r="F31" s="469"/>
      <c r="G31" s="469"/>
      <c r="H31" s="469"/>
      <c r="I31" s="469"/>
      <c r="J31" s="470"/>
      <c r="K31" s="470"/>
      <c r="L31" s="470"/>
      <c r="M31" s="470"/>
      <c r="N31" s="470"/>
      <c r="O31" s="470"/>
      <c r="P31" s="469"/>
      <c r="Q31" s="470"/>
    </row>
    <row r="32" spans="3:17" ht="15.75">
      <c r="C32" s="455" t="str">
        <f>"C.   Determine Income Taxes using Return with hypothetical "&amp;F17&amp;" basis point ROE increase for Identified Projects."</f>
        <v>C.   Determine Income Taxes using Return with hypothetical 0 basis point ROE increase for Identified Projects.</v>
      </c>
      <c r="D32" s="489"/>
      <c r="E32" s="489"/>
      <c r="F32" s="490"/>
      <c r="G32" s="490"/>
      <c r="H32" s="490"/>
      <c r="I32" s="490"/>
      <c r="J32" s="491"/>
      <c r="K32" s="491"/>
      <c r="L32" s="491"/>
      <c r="M32" s="491"/>
      <c r="N32" s="491"/>
      <c r="O32" s="491"/>
      <c r="P32" s="490"/>
      <c r="Q32" s="491"/>
    </row>
    <row r="33" spans="2:17">
      <c r="C33" s="456"/>
      <c r="D33" s="459"/>
      <c r="E33" s="459"/>
      <c r="F33" s="469"/>
      <c r="G33" s="469"/>
      <c r="H33" s="469"/>
      <c r="I33" s="469"/>
      <c r="J33" s="470"/>
      <c r="K33" s="470"/>
      <c r="L33" s="470"/>
      <c r="M33" s="470"/>
      <c r="N33" s="470"/>
      <c r="O33" s="470"/>
      <c r="P33" s="469"/>
      <c r="Q33" s="470"/>
    </row>
    <row r="34" spans="2:17">
      <c r="C34" s="459" t="s">
        <v>62</v>
      </c>
      <c r="D34" s="472"/>
      <c r="E34" s="492">
        <f>E30</f>
        <v>9861553.7495099511</v>
      </c>
      <c r="F34" s="469"/>
      <c r="G34" s="469"/>
      <c r="H34" s="469"/>
      <c r="I34" s="469"/>
      <c r="J34" s="469"/>
      <c r="K34" s="469"/>
      <c r="L34" s="469"/>
      <c r="M34" s="469"/>
      <c r="N34" s="469"/>
      <c r="O34" s="469"/>
      <c r="P34" s="469"/>
      <c r="Q34" s="469"/>
    </row>
    <row r="35" spans="2:17">
      <c r="C35" s="456" t="str">
        <f>"   Effective Tax Rate  (TCOS, ln "&amp;TCOS!B178&amp;")"</f>
        <v xml:space="preserve">   Effective Tax Rate  (TCOS, ln 97)</v>
      </c>
      <c r="D35" s="47"/>
      <c r="E35" s="493">
        <f>TCOS!G178</f>
        <v>0.25547497689059179</v>
      </c>
      <c r="F35" s="3"/>
      <c r="G35" s="3"/>
      <c r="H35" s="3"/>
      <c r="I35" s="494"/>
      <c r="J35" s="3"/>
      <c r="K35" s="3"/>
      <c r="Q35" s="3"/>
    </row>
    <row r="36" spans="2:17">
      <c r="C36" s="488" t="s">
        <v>63</v>
      </c>
      <c r="D36" s="47"/>
      <c r="E36" s="495">
        <f>E34*E35</f>
        <v>2519380.2162613836</v>
      </c>
      <c r="F36" s="3"/>
      <c r="G36" s="3"/>
      <c r="H36" s="3"/>
      <c r="I36" s="494"/>
      <c r="J36" s="3"/>
      <c r="K36" s="3"/>
      <c r="Q36" s="3"/>
    </row>
    <row r="37" spans="2:17" ht="15">
      <c r="C37" s="456" t="s">
        <v>105</v>
      </c>
      <c r="D37" s="135"/>
      <c r="E37" s="469">
        <f>TCOS!L186</f>
        <v>0</v>
      </c>
      <c r="F37" s="135"/>
      <c r="G37" s="135"/>
      <c r="H37" s="135"/>
      <c r="I37" s="135"/>
      <c r="J37" s="135"/>
      <c r="K37" s="135"/>
      <c r="L37" s="135"/>
      <c r="M37" s="135"/>
      <c r="N37" s="135"/>
      <c r="O37" s="135"/>
      <c r="P37" s="149"/>
      <c r="Q37" s="135"/>
    </row>
    <row r="38" spans="2:17" ht="15">
      <c r="C38" s="456" t="s">
        <v>560</v>
      </c>
      <c r="D38" s="135"/>
      <c r="E38" s="469">
        <f>TCOS!L187</f>
        <v>19997.774770889078</v>
      </c>
      <c r="F38" s="135"/>
      <c r="G38" s="135"/>
      <c r="H38" s="135"/>
      <c r="I38" s="135"/>
      <c r="J38" s="135"/>
      <c r="K38" s="135"/>
      <c r="L38" s="135"/>
      <c r="M38" s="135"/>
      <c r="N38" s="135"/>
      <c r="O38" s="135"/>
      <c r="P38" s="149"/>
      <c r="Q38" s="135"/>
    </row>
    <row r="39" spans="2:17" ht="15">
      <c r="C39" s="456" t="s">
        <v>562</v>
      </c>
      <c r="D39" s="135"/>
      <c r="E39" s="593">
        <f>TCOS!L188</f>
        <v>53447.256359605541</v>
      </c>
      <c r="F39" s="135"/>
      <c r="G39" s="135"/>
      <c r="H39" s="135"/>
      <c r="I39" s="135"/>
      <c r="J39" s="135"/>
      <c r="K39" s="135"/>
      <c r="L39" s="135"/>
      <c r="M39" s="135"/>
      <c r="N39" s="135"/>
      <c r="O39" s="135"/>
      <c r="P39" s="149"/>
      <c r="Q39" s="135"/>
    </row>
    <row r="40" spans="2:17" ht="15">
      <c r="C40" s="488" t="s">
        <v>64</v>
      </c>
      <c r="D40" s="135"/>
      <c r="E40" s="469">
        <f>E36+E37+E38+E39</f>
        <v>2592825.2473918782</v>
      </c>
      <c r="F40" s="135"/>
      <c r="G40" s="135"/>
      <c r="H40" s="135"/>
      <c r="I40" s="135"/>
      <c r="J40" s="135"/>
      <c r="K40" s="135"/>
      <c r="L40" s="135"/>
      <c r="M40" s="135"/>
      <c r="N40" s="135"/>
      <c r="O40" s="135"/>
      <c r="P40" s="148"/>
      <c r="Q40" s="135"/>
    </row>
    <row r="41" spans="2:17" ht="12.75" customHeight="1">
      <c r="C41" s="131"/>
      <c r="D41" s="135"/>
      <c r="E41" s="135"/>
      <c r="F41" s="135"/>
      <c r="G41" s="135"/>
      <c r="H41" s="135"/>
      <c r="I41" s="135"/>
      <c r="J41" s="135"/>
      <c r="K41" s="135"/>
      <c r="L41" s="135"/>
      <c r="M41" s="135"/>
      <c r="N41" s="135"/>
      <c r="O41" s="135"/>
      <c r="P41" s="148"/>
      <c r="Q41" s="135"/>
    </row>
    <row r="42" spans="2:17" ht="18.75">
      <c r="B42" s="453" t="s">
        <v>472</v>
      </c>
      <c r="C42" s="6" t="str">
        <f>"Calculate Net Plant Carrying Charge Rate (Fixed Charge Rate or FCR) with hypothetical "&amp;F17&amp;""</f>
        <v>Calculate Net Plant Carrying Charge Rate (Fixed Charge Rate or FCR) with hypothetical 0</v>
      </c>
      <c r="D42" s="135"/>
      <c r="E42" s="135"/>
      <c r="F42" s="135"/>
      <c r="G42" s="135"/>
      <c r="H42" s="135"/>
      <c r="I42" s="135"/>
      <c r="J42" s="135"/>
      <c r="K42" s="135"/>
      <c r="L42" s="135"/>
      <c r="M42" s="135"/>
      <c r="N42" s="135"/>
      <c r="O42" s="135"/>
      <c r="P42" s="148"/>
      <c r="Q42" s="135"/>
    </row>
    <row r="43" spans="2:17" ht="18.75" customHeight="1">
      <c r="C43" s="6" t="str">
        <f>"basis point ROE increase."</f>
        <v>basis point ROE increase.</v>
      </c>
      <c r="D43" s="135"/>
      <c r="E43" s="135"/>
      <c r="F43" s="135"/>
      <c r="G43" s="135"/>
      <c r="H43" s="135"/>
      <c r="I43" s="135"/>
      <c r="J43" s="135"/>
      <c r="K43" s="135"/>
      <c r="L43" s="135"/>
      <c r="M43" s="135"/>
      <c r="N43" s="135"/>
      <c r="O43" s="135"/>
      <c r="P43" s="148"/>
      <c r="Q43" s="135"/>
    </row>
    <row r="44" spans="2:17" ht="12.75" customHeight="1">
      <c r="C44" s="6"/>
      <c r="D44" s="135"/>
      <c r="E44" s="135"/>
      <c r="F44" s="135"/>
      <c r="G44" s="135"/>
      <c r="H44" s="135"/>
      <c r="I44" s="135"/>
      <c r="J44" s="135"/>
      <c r="K44" s="135"/>
      <c r="L44" s="135"/>
      <c r="M44" s="135"/>
      <c r="N44" s="135"/>
      <c r="O44" s="135"/>
      <c r="P44" s="148"/>
      <c r="Q44" s="135"/>
    </row>
    <row r="45" spans="2:17" ht="15.75">
      <c r="C45" s="455" t="s">
        <v>261</v>
      </c>
      <c r="D45" s="135"/>
      <c r="E45" s="135"/>
      <c r="F45" s="131"/>
      <c r="G45" s="131"/>
      <c r="H45" s="135"/>
      <c r="I45" s="135"/>
      <c r="J45" s="135"/>
      <c r="K45" s="135"/>
      <c r="L45" s="135"/>
      <c r="M45" s="135"/>
      <c r="N45" s="135"/>
      <c r="O45" s="135"/>
      <c r="P45" s="148"/>
      <c r="Q45" s="135"/>
    </row>
    <row r="46" spans="2:17">
      <c r="B46" s="3"/>
      <c r="C46" s="456"/>
      <c r="D46" s="457"/>
      <c r="E46" s="457"/>
      <c r="F46" s="457"/>
      <c r="G46" s="457"/>
      <c r="H46" s="457"/>
      <c r="I46" s="457"/>
      <c r="J46" s="457"/>
      <c r="K46" s="457"/>
      <c r="L46" s="457"/>
      <c r="M46" s="457"/>
      <c r="N46" s="457"/>
      <c r="O46" s="457"/>
      <c r="P46" s="469"/>
      <c r="Q46" s="457"/>
    </row>
    <row r="47" spans="2:17" ht="12.75" customHeight="1">
      <c r="B47" s="3"/>
      <c r="C47" s="456" t="str">
        <f>"   Annual Revenue Requirement  (TCOS, ln "&amp;TCOS!B13&amp;")"</f>
        <v xml:space="preserve">   Annual Revenue Requirement  (TCOS, ln 1)</v>
      </c>
      <c r="D47" s="457"/>
      <c r="E47" s="457"/>
      <c r="F47" s="469">
        <f>TCOS!L13</f>
        <v>21215182.183590215</v>
      </c>
      <c r="G47" s="469"/>
      <c r="H47" s="594" t="s">
        <v>416</v>
      </c>
      <c r="I47" s="457"/>
      <c r="J47" s="457"/>
      <c r="K47" s="457"/>
      <c r="L47" s="457"/>
      <c r="M47" s="457"/>
      <c r="N47" s="457"/>
      <c r="O47" s="457"/>
      <c r="P47" s="469"/>
      <c r="Q47" s="457"/>
    </row>
    <row r="48" spans="2:17" ht="12.75" customHeight="1">
      <c r="B48" s="3"/>
      <c r="C48" s="497" t="str">
        <f>"   Lease Payments (TCOS, Lns "&amp;TCOS!B157&amp;")"</f>
        <v xml:space="preserve">   Lease Payments (TCOS, Lns 80)</v>
      </c>
      <c r="D48" s="457"/>
      <c r="E48" s="457"/>
      <c r="F48" s="469">
        <f>TCOS!L157</f>
        <v>0</v>
      </c>
      <c r="G48" s="469"/>
      <c r="H48" s="594"/>
      <c r="I48" s="457"/>
      <c r="J48" s="457"/>
      <c r="K48" s="457"/>
      <c r="L48" s="457"/>
      <c r="M48" s="457"/>
      <c r="N48" s="457"/>
      <c r="O48" s="457"/>
      <c r="P48" s="469"/>
      <c r="Q48" s="457"/>
    </row>
    <row r="49" spans="2:17">
      <c r="B49" s="3"/>
      <c r="C49" s="456" t="str">
        <f>"   Return  (TCOS, ln "&amp;TCOS!B191&amp;")"</f>
        <v xml:space="preserve">   Return  (TCOS, ln 109)</v>
      </c>
      <c r="D49" s="457"/>
      <c r="E49" s="457"/>
      <c r="F49" s="470">
        <f>TCOS!L191</f>
        <v>9861553.7495099511</v>
      </c>
      <c r="G49" s="470"/>
      <c r="H49" s="456"/>
      <c r="I49" s="456"/>
      <c r="J49" s="456"/>
      <c r="K49" s="456"/>
      <c r="L49" s="456"/>
      <c r="M49" s="456"/>
      <c r="N49" s="456"/>
      <c r="O49" s="456"/>
      <c r="P49" s="469"/>
      <c r="Q49" s="456"/>
    </row>
    <row r="50" spans="2:17">
      <c r="B50" s="3"/>
      <c r="C50" s="456" t="str">
        <f>"   Income Taxes  (TCOS, ln "&amp;TCOS!B189&amp;")"</f>
        <v xml:space="preserve">   Income Taxes  (TCOS, ln 108)</v>
      </c>
      <c r="D50" s="457"/>
      <c r="E50" s="457"/>
      <c r="F50" s="498">
        <f>TCOS!L189</f>
        <v>2592825.2473918782</v>
      </c>
      <c r="G50" s="498"/>
      <c r="H50" s="457"/>
      <c r="I50" s="457"/>
      <c r="J50" s="499"/>
      <c r="K50" s="499"/>
      <c r="L50" s="499"/>
      <c r="M50" s="499"/>
      <c r="N50" s="499"/>
      <c r="O50" s="499"/>
      <c r="P50" s="457"/>
      <c r="Q50" s="499"/>
    </row>
    <row r="51" spans="2:17">
      <c r="B51" s="3"/>
      <c r="C51" s="1200" t="s">
        <v>623</v>
      </c>
      <c r="D51" s="1201"/>
      <c r="E51" s="457"/>
      <c r="F51" s="470">
        <f>F47-F49-F50-F48</f>
        <v>8760803.1866883859</v>
      </c>
      <c r="G51" s="470"/>
      <c r="H51" s="500"/>
      <c r="I51" s="457"/>
      <c r="J51" s="500"/>
      <c r="K51" s="500"/>
      <c r="L51" s="500"/>
      <c r="M51" s="500"/>
      <c r="N51" s="500"/>
      <c r="O51" s="500"/>
      <c r="P51" s="500"/>
      <c r="Q51" s="500"/>
    </row>
    <row r="52" spans="2:17">
      <c r="B52" s="3"/>
      <c r="C52" s="1201"/>
      <c r="D52" s="1201"/>
      <c r="E52" s="457"/>
      <c r="F52" s="469"/>
      <c r="G52" s="469"/>
      <c r="H52" s="501"/>
      <c r="I52" s="502"/>
      <c r="J52" s="502"/>
      <c r="K52" s="502"/>
      <c r="L52" s="502"/>
      <c r="M52" s="502"/>
      <c r="N52" s="502"/>
      <c r="O52" s="502"/>
      <c r="P52" s="502"/>
      <c r="Q52" s="502"/>
    </row>
    <row r="53" spans="2:17" ht="15.75">
      <c r="B53" s="3"/>
      <c r="C53" s="455" t="str">
        <f>"B.   Determine Annual Revenue Requirement with hypothetical "&amp;F17&amp;" basis point increase in ROE."</f>
        <v>B.   Determine Annual Revenue Requirement with hypothetical 0 basis point increase in ROE.</v>
      </c>
      <c r="D53" s="459"/>
      <c r="E53" s="459"/>
      <c r="F53" s="469"/>
      <c r="G53" s="469"/>
      <c r="H53" s="501"/>
      <c r="I53" s="502"/>
      <c r="J53" s="502"/>
      <c r="K53" s="502"/>
      <c r="L53" s="502"/>
      <c r="M53" s="502"/>
      <c r="N53" s="502"/>
      <c r="O53" s="502"/>
      <c r="P53" s="502"/>
      <c r="Q53" s="502"/>
    </row>
    <row r="54" spans="2:17">
      <c r="B54" s="3"/>
      <c r="C54" s="456"/>
      <c r="D54" s="459"/>
      <c r="E54" s="459"/>
      <c r="F54" s="469"/>
      <c r="G54" s="469"/>
      <c r="H54" s="501"/>
      <c r="I54" s="502"/>
      <c r="J54" s="502"/>
      <c r="K54" s="502"/>
      <c r="L54" s="502"/>
      <c r="M54" s="502"/>
      <c r="N54" s="502"/>
      <c r="O54" s="502"/>
      <c r="P54" s="502"/>
      <c r="Q54" s="502"/>
    </row>
    <row r="55" spans="2:17">
      <c r="B55" s="3"/>
      <c r="C55" s="497" t="str">
        <f>C51</f>
        <v xml:space="preserve">   Annual Revenue Requirement, Less Lease Payments, Return and Taxes</v>
      </c>
      <c r="D55" s="459"/>
      <c r="E55" s="459"/>
      <c r="F55" s="469">
        <f>F51</f>
        <v>8760803.1866883859</v>
      </c>
      <c r="G55" s="469"/>
      <c r="H55" s="457"/>
      <c r="I55" s="457"/>
      <c r="J55" s="457"/>
      <c r="K55" s="457"/>
      <c r="L55" s="457"/>
      <c r="M55" s="457"/>
      <c r="N55" s="457"/>
      <c r="O55" s="457"/>
      <c r="P55" s="503"/>
      <c r="Q55" s="457"/>
    </row>
    <row r="56" spans="2:17">
      <c r="B56" s="3"/>
      <c r="C56" s="459" t="s">
        <v>102</v>
      </c>
      <c r="D56" s="47"/>
      <c r="E56" s="3"/>
      <c r="F56" s="495">
        <f>E30</f>
        <v>9861553.7495099511</v>
      </c>
      <c r="G56" s="495"/>
      <c r="H56" s="3"/>
      <c r="I56" s="595"/>
      <c r="J56" s="3"/>
      <c r="K56" s="3"/>
      <c r="Q56" s="3"/>
    </row>
    <row r="57" spans="2:17" ht="12.75" customHeight="1">
      <c r="B57" s="3"/>
      <c r="C57" s="456" t="s">
        <v>70</v>
      </c>
      <c r="D57" s="457"/>
      <c r="E57" s="457"/>
      <c r="F57" s="498">
        <f>E40</f>
        <v>2592825.2473918782</v>
      </c>
      <c r="G57" s="498"/>
      <c r="H57" s="3"/>
      <c r="I57" s="494"/>
      <c r="J57" s="3"/>
      <c r="K57" s="3"/>
      <c r="Q57" s="3"/>
    </row>
    <row r="58" spans="2:17">
      <c r="B58" s="3"/>
      <c r="C58" s="3" t="str">
        <f>"   Annual Revenue Requirement, with "&amp;F17&amp;" Basis Point ROE increase"</f>
        <v xml:space="preserve">   Annual Revenue Requirement, with 0 Basis Point ROE increase</v>
      </c>
      <c r="D58" s="47"/>
      <c r="E58" s="3"/>
      <c r="F58" s="495">
        <f>SUM(F55:F57)</f>
        <v>21215182.183590218</v>
      </c>
      <c r="G58" s="495"/>
      <c r="H58" s="3"/>
      <c r="I58" s="494"/>
      <c r="J58" s="3"/>
      <c r="K58" s="3"/>
      <c r="Q58" s="3"/>
    </row>
    <row r="59" spans="2:17">
      <c r="B59" s="3"/>
      <c r="C59" s="456" t="str">
        <f>"   Depreciation  (TCOS, ln "&amp;TCOS!B161&amp;")"</f>
        <v xml:space="preserve">   Depreciation  (TCOS, ln 83)</v>
      </c>
      <c r="D59" s="47"/>
      <c r="E59" s="3"/>
      <c r="F59" s="504">
        <f>TCOS!L161</f>
        <v>3721091</v>
      </c>
      <c r="G59" s="504"/>
      <c r="H59" s="495"/>
      <c r="I59" s="494"/>
      <c r="J59" s="3"/>
      <c r="K59" s="3"/>
      <c r="Q59" s="3"/>
    </row>
    <row r="60" spans="2:17">
      <c r="B60" s="3"/>
      <c r="C60" s="1120" t="str">
        <f>"   Annual Rev. Req, w/ "&amp;F17&amp;" Basis Point ROE increase, less Depreciation"</f>
        <v xml:space="preserve">   Annual Rev. Req, w/ 0 Basis Point ROE increase, less Depreciation</v>
      </c>
      <c r="D60" s="1192"/>
      <c r="E60" s="3"/>
      <c r="F60" s="495">
        <f>F58-F59</f>
        <v>17494091.183590218</v>
      </c>
      <c r="G60" s="495"/>
      <c r="H60" s="3"/>
      <c r="I60" s="494"/>
      <c r="J60" s="3"/>
      <c r="K60" s="3"/>
      <c r="Q60" s="3"/>
    </row>
    <row r="61" spans="2:17">
      <c r="B61" s="3"/>
      <c r="C61" s="1192"/>
      <c r="D61" s="1192"/>
      <c r="E61" s="3"/>
      <c r="F61" s="3"/>
      <c r="G61" s="3"/>
      <c r="H61" s="3"/>
      <c r="I61" s="494"/>
      <c r="J61" s="3"/>
      <c r="K61" s="3"/>
      <c r="Q61" s="3"/>
    </row>
    <row r="62" spans="2:17" ht="15.75">
      <c r="B62" s="3"/>
      <c r="C62" s="455" t="str">
        <f>"C.   Determine FCR with hypothetical "&amp;F17&amp;" basis point ROE increase."</f>
        <v>C.   Determine FCR with hypothetical 0 basis point ROE increase.</v>
      </c>
      <c r="D62" s="47"/>
      <c r="E62" s="3"/>
      <c r="F62" s="3"/>
      <c r="G62" s="3"/>
      <c r="H62" s="3"/>
      <c r="I62" s="494"/>
      <c r="J62" s="3"/>
      <c r="K62" s="3"/>
      <c r="Q62" s="3"/>
    </row>
    <row r="63" spans="2:17">
      <c r="B63" s="3"/>
      <c r="C63" s="3"/>
      <c r="D63" s="47"/>
      <c r="E63" s="3"/>
      <c r="F63" s="3"/>
      <c r="G63" s="3"/>
      <c r="H63" s="3"/>
      <c r="I63" s="494"/>
      <c r="J63" s="3"/>
      <c r="K63" s="3"/>
      <c r="Q63" s="3"/>
    </row>
    <row r="64" spans="2:17">
      <c r="B64" s="3"/>
      <c r="C64" s="456" t="str">
        <f>"   Net Transmission Plant  (Projected TCOS, ln "&amp;TCOS!B83&amp;")"</f>
        <v xml:space="preserve">   Net Transmission Plant  (Projected TCOS, ln 33)</v>
      </c>
      <c r="D64" s="47"/>
      <c r="E64" s="3"/>
      <c r="F64" s="495">
        <f>TCOS!L83</f>
        <v>129229845.19153845</v>
      </c>
      <c r="G64" s="495"/>
      <c r="H64" s="495"/>
      <c r="I64" s="596"/>
      <c r="J64" s="3"/>
      <c r="K64" s="3"/>
      <c r="Q64" s="3"/>
    </row>
    <row r="65" spans="2:17">
      <c r="B65" s="3"/>
      <c r="C65" s="3" t="str">
        <f>"   Annual Revenue Requirement, with "&amp;F17&amp;" Basis Point ROE increase"</f>
        <v xml:space="preserve">   Annual Revenue Requirement, with 0 Basis Point ROE increase</v>
      </c>
      <c r="D65" s="47"/>
      <c r="E65" s="3"/>
      <c r="F65" s="495">
        <f>F58</f>
        <v>21215182.183590218</v>
      </c>
      <c r="G65" s="495"/>
      <c r="H65" s="3"/>
      <c r="I65" s="494"/>
      <c r="J65" s="3"/>
      <c r="K65" s="3"/>
      <c r="Q65" s="3"/>
    </row>
    <row r="66" spans="2:17">
      <c r="B66" s="3"/>
      <c r="C66" s="3" t="str">
        <f>"   FCR with "&amp;F17&amp;" Basis Point increase in ROE"</f>
        <v xml:space="preserve">   FCR with 0 Basis Point increase in ROE</v>
      </c>
      <c r="D66" s="47"/>
      <c r="E66" s="3"/>
      <c r="F66" s="493">
        <f>IF(F64=0,0,F65/F64)</f>
        <v>0.1641662740688582</v>
      </c>
      <c r="G66" s="493"/>
      <c r="H66" s="493"/>
      <c r="I66" s="494"/>
      <c r="J66" s="3"/>
      <c r="K66" s="3"/>
      <c r="Q66" s="3"/>
    </row>
    <row r="67" spans="2:17">
      <c r="B67" s="3"/>
      <c r="C67" s="41"/>
      <c r="D67" s="47"/>
      <c r="E67" s="3"/>
      <c r="F67" s="3"/>
      <c r="G67" s="3"/>
      <c r="H67" s="3"/>
      <c r="I67" s="494"/>
      <c r="J67" s="3"/>
      <c r="K67" s="3"/>
      <c r="Q67" s="3"/>
    </row>
    <row r="68" spans="2:17">
      <c r="B68" s="3"/>
      <c r="C68" s="3" t="str">
        <f>"   Annual Rev. Req, w / "&amp;F17&amp;" Basis Point ROE increase, less Dep."</f>
        <v xml:space="preserve">   Annual Rev. Req, w / 0 Basis Point ROE increase, less Dep.</v>
      </c>
      <c r="D68" s="47"/>
      <c r="E68" s="3"/>
      <c r="F68" s="495">
        <f>F60</f>
        <v>17494091.183590218</v>
      </c>
      <c r="G68" s="495"/>
      <c r="H68" s="3"/>
      <c r="I68" s="494"/>
      <c r="J68" s="3"/>
      <c r="K68" s="3"/>
      <c r="Q68" s="3"/>
    </row>
    <row r="69" spans="2:17">
      <c r="B69" s="3"/>
      <c r="C69" s="3" t="str">
        <f>"   FCR with "&amp;F17&amp;" Basis Point ROE increase, less Depreciation"</f>
        <v xml:space="preserve">   FCR with 0 Basis Point ROE increase, less Depreciation</v>
      </c>
      <c r="D69" s="47"/>
      <c r="E69" s="3"/>
      <c r="F69" s="493">
        <f>IF(F68=0,0,F68/F64)</f>
        <v>0.1353719116328066</v>
      </c>
      <c r="G69" s="493"/>
      <c r="H69" s="3"/>
      <c r="I69" s="494"/>
      <c r="J69" s="3"/>
      <c r="K69" s="3"/>
      <c r="Q69" s="3"/>
    </row>
    <row r="70" spans="2:17">
      <c r="B70" s="3"/>
      <c r="C70" s="456" t="str">
        <f>"   FCR less Depreciation  (TCOS, ln "&amp;TCOS!B31&amp;")"</f>
        <v xml:space="preserve">   FCR less Depreciation  (TCOS, ln 10)</v>
      </c>
      <c r="D70" s="47"/>
      <c r="E70" s="3"/>
      <c r="F70" s="506">
        <f>TCOS!L31</f>
        <v>0.13537191163280657</v>
      </c>
      <c r="G70" s="506"/>
      <c r="H70" s="3"/>
      <c r="I70" s="494"/>
      <c r="J70" s="3"/>
      <c r="K70" s="3"/>
      <c r="Q70" s="3"/>
    </row>
    <row r="71" spans="2:17">
      <c r="B71" s="3"/>
      <c r="C71" s="1120" t="str">
        <f>"   Incremental FCR with "&amp;F17&amp;" Basis Point ROE increase, less Depreciation"</f>
        <v xml:space="preserve">   Incremental FCR with 0 Basis Point ROE increase, less Depreciation</v>
      </c>
      <c r="D71" s="1192"/>
      <c r="E71" s="3"/>
      <c r="F71" s="493">
        <f>F69-F70</f>
        <v>0</v>
      </c>
      <c r="G71" s="493"/>
      <c r="H71" s="3"/>
      <c r="I71" s="494"/>
      <c r="J71" s="3"/>
      <c r="K71" s="3"/>
      <c r="Q71" s="3"/>
    </row>
    <row r="72" spans="2:17">
      <c r="B72" s="3"/>
      <c r="C72" s="1192"/>
      <c r="D72" s="1192"/>
      <c r="E72" s="3"/>
      <c r="F72" s="493"/>
      <c r="G72" s="493"/>
      <c r="H72" s="3"/>
      <c r="I72" s="494"/>
      <c r="J72" s="3"/>
      <c r="K72" s="3"/>
      <c r="Q72" s="3"/>
    </row>
    <row r="73" spans="2:17" ht="18.75">
      <c r="B73" s="453" t="s">
        <v>473</v>
      </c>
      <c r="C73" s="6" t="s">
        <v>71</v>
      </c>
      <c r="D73" s="47"/>
      <c r="E73" s="3"/>
      <c r="F73" s="493"/>
      <c r="G73" s="493"/>
      <c r="H73" s="3"/>
      <c r="I73" s="494"/>
      <c r="J73" s="3"/>
      <c r="K73" s="3"/>
      <c r="Q73" s="3"/>
    </row>
    <row r="74" spans="2:17">
      <c r="B74" s="3"/>
      <c r="C74" s="3"/>
      <c r="D74" s="47"/>
      <c r="E74" s="3"/>
      <c r="F74" s="493"/>
      <c r="G74" s="493"/>
      <c r="H74" s="3"/>
      <c r="I74" s="494"/>
      <c r="J74" s="3"/>
      <c r="K74" s="3"/>
      <c r="Q74" s="3"/>
    </row>
    <row r="75" spans="2:17">
      <c r="B75" s="3"/>
      <c r="C75" s="3" t="str">
        <f>+"Average Transmission Plant Balance for "&amp;TCOS!L4&amp;" TCOS, ln "&amp;TCOS!B63</f>
        <v>Average Transmission Plant Balance for 2025 TCOS, ln 19</v>
      </c>
      <c r="D75" s="47"/>
      <c r="E75" s="3"/>
      <c r="F75" s="3"/>
      <c r="G75" s="3"/>
      <c r="H75" s="494">
        <f>TCOS!L63</f>
        <v>160022293.89076921</v>
      </c>
      <c r="J75" s="3"/>
      <c r="K75" s="3"/>
      <c r="Q75" s="3"/>
    </row>
    <row r="76" spans="2:17">
      <c r="B76" s="3"/>
      <c r="C76" s="3" t="str">
        <f>"Annual Depreciation and Amortization Expense (TCOS, ln "&amp;TCOS!B161&amp;")"</f>
        <v>Annual Depreciation and Amortization Expense (TCOS, ln 83)</v>
      </c>
      <c r="D76" s="47"/>
      <c r="E76" s="3"/>
      <c r="H76" s="349">
        <f>TCOS!L161</f>
        <v>3721091</v>
      </c>
      <c r="I76" s="494"/>
      <c r="J76" s="3"/>
      <c r="K76" s="3"/>
      <c r="Q76" s="3"/>
    </row>
    <row r="77" spans="2:17">
      <c r="B77" s="3"/>
      <c r="C77" s="3" t="s">
        <v>72</v>
      </c>
      <c r="D77" s="47"/>
      <c r="E77" s="3"/>
      <c r="H77" s="650">
        <f>H76/H75</f>
        <v>2.3253578670357062E-2</v>
      </c>
      <c r="I77" s="508"/>
      <c r="J77" s="1193"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AEP Kentucky Transmission Company establishes Transmission plant in service the depreciation expense component of the carrying charge will be calculated as in the Operating Company formula approved in Docket No. ER08-1329.  The calculation for AEP Kentucky Transmission Company is shown on Worksheet P.</v>
      </c>
      <c r="K77" s="1193"/>
      <c r="L77" s="1193"/>
      <c r="M77" s="1193"/>
      <c r="N77" s="1193"/>
      <c r="O77" s="1193"/>
      <c r="P77" s="1193"/>
      <c r="Q77" s="454"/>
    </row>
    <row r="78" spans="2:17">
      <c r="B78" s="3"/>
      <c r="C78" s="3" t="s">
        <v>73</v>
      </c>
      <c r="D78" s="47"/>
      <c r="E78" s="3"/>
      <c r="H78" s="509">
        <f>IF(H77=0,0,1/H77)</f>
        <v>43.004133435803965</v>
      </c>
      <c r="I78" s="494"/>
      <c r="J78" s="1193"/>
      <c r="K78" s="1193"/>
      <c r="L78" s="1193"/>
      <c r="M78" s="1193"/>
      <c r="N78" s="1193"/>
      <c r="O78" s="1193"/>
      <c r="P78" s="1193"/>
      <c r="Q78" s="454"/>
    </row>
    <row r="79" spans="2:17">
      <c r="B79" s="3"/>
      <c r="C79" s="3" t="s">
        <v>598</v>
      </c>
      <c r="D79" s="47"/>
      <c r="E79" s="3"/>
      <c r="H79" s="510">
        <f>ROUND(H78,0)</f>
        <v>43</v>
      </c>
      <c r="I79" s="494"/>
      <c r="J79" s="1193"/>
      <c r="K79" s="1193"/>
      <c r="L79" s="1193"/>
      <c r="M79" s="1193"/>
      <c r="N79" s="1193"/>
      <c r="O79" s="1193"/>
      <c r="P79" s="1193"/>
      <c r="Q79" s="454"/>
    </row>
    <row r="80" spans="2:17">
      <c r="B80" s="3"/>
      <c r="C80" s="3"/>
      <c r="D80" s="47"/>
      <c r="E80" s="3"/>
      <c r="H80" s="510"/>
      <c r="I80" s="494"/>
      <c r="J80" s="1193"/>
      <c r="K80" s="1193"/>
      <c r="L80" s="1193"/>
      <c r="M80" s="1193"/>
      <c r="N80" s="1193"/>
      <c r="O80" s="1193"/>
      <c r="P80" s="1193"/>
    </row>
    <row r="81" spans="1:17" ht="20.25">
      <c r="A81" s="451" t="str">
        <f>""&amp;A6&amp;" Worksheet K -  ATRR TRUE-UP Calculation for PJM Projects Charged to Benefiting Zones"</f>
        <v>AEP Kentucky Transmission Company Worksheet K -  ATRR TRUE-UP Calculation for PJM Projects Charged to Benefiting Zones</v>
      </c>
      <c r="B81" s="3"/>
      <c r="C81" s="3"/>
      <c r="D81" s="47"/>
      <c r="E81" s="3"/>
      <c r="F81" s="493"/>
      <c r="G81" s="493"/>
      <c r="H81" s="3"/>
      <c r="I81" s="494"/>
      <c r="L81" s="403"/>
      <c r="M81" s="403"/>
      <c r="N81" s="403"/>
      <c r="O81" s="403" t="str">
        <f>"Page "&amp;SUM(Q$8:Q81)&amp;" of "</f>
        <v xml:space="preserve">Page 2 of </v>
      </c>
      <c r="P81" s="452">
        <f>COUNT(Q$8:Q$57702)</f>
        <v>2</v>
      </c>
      <c r="Q81" s="512">
        <v>1</v>
      </c>
    </row>
    <row r="82" spans="1:17">
      <c r="B82" s="3"/>
      <c r="C82" s="3"/>
      <c r="D82" s="47"/>
      <c r="E82" s="3"/>
      <c r="F82" s="3"/>
      <c r="G82" s="3"/>
      <c r="H82" s="3"/>
      <c r="I82" s="494"/>
      <c r="J82" s="3"/>
      <c r="K82" s="3"/>
    </row>
    <row r="83" spans="1:17" ht="18">
      <c r="B83" s="453" t="s">
        <v>474</v>
      </c>
      <c r="C83" s="122" t="s">
        <v>93</v>
      </c>
      <c r="D83" s="47"/>
      <c r="E83" s="3"/>
      <c r="F83" s="3"/>
      <c r="G83" s="3"/>
      <c r="H83" s="3"/>
      <c r="I83" s="494"/>
      <c r="J83" s="494"/>
      <c r="K83" s="507"/>
      <c r="L83" s="494"/>
      <c r="M83" s="494"/>
      <c r="N83" s="494"/>
      <c r="O83" s="494"/>
      <c r="Q83" s="3"/>
    </row>
    <row r="84" spans="1:17" ht="18.75">
      <c r="B84" s="453"/>
      <c r="C84" s="6"/>
      <c r="D84" s="47"/>
      <c r="E84" s="3"/>
      <c r="F84" s="3"/>
      <c r="G84" s="3"/>
      <c r="H84" s="3"/>
      <c r="I84" s="494"/>
      <c r="J84" s="494"/>
      <c r="K84" s="507"/>
      <c r="L84" s="494"/>
      <c r="M84" s="494"/>
      <c r="N84" s="494"/>
      <c r="O84" s="494"/>
    </row>
    <row r="85" spans="1:17" ht="18.75">
      <c r="B85" s="453"/>
      <c r="C85" s="6" t="s">
        <v>94</v>
      </c>
      <c r="D85" s="47"/>
      <c r="E85" s="3"/>
      <c r="F85" s="3"/>
      <c r="G85" s="3"/>
      <c r="H85" s="3"/>
      <c r="I85" s="494"/>
      <c r="J85" s="494"/>
      <c r="K85" s="507"/>
      <c r="L85" s="494"/>
      <c r="M85" s="494"/>
      <c r="N85" s="494"/>
      <c r="O85" s="494"/>
    </row>
    <row r="86" spans="1:17" ht="15.75" thickBot="1">
      <c r="C86" s="131"/>
      <c r="D86" s="47"/>
      <c r="E86" s="3"/>
      <c r="F86" s="3"/>
      <c r="G86" s="3"/>
      <c r="H86" s="3"/>
      <c r="I86" s="494"/>
      <c r="J86" s="494"/>
      <c r="K86" s="507"/>
      <c r="L86" s="494"/>
      <c r="M86" s="494"/>
      <c r="N86" s="494"/>
      <c r="O86" s="494"/>
    </row>
    <row r="87" spans="1:17" ht="15.75">
      <c r="C87" s="455" t="s">
        <v>95</v>
      </c>
      <c r="D87" s="47"/>
      <c r="E87" s="3"/>
      <c r="F87" s="3"/>
      <c r="G87" s="3"/>
      <c r="H87" s="570"/>
      <c r="I87" s="3" t="s">
        <v>74</v>
      </c>
      <c r="J87" s="3"/>
      <c r="K87" s="3"/>
      <c r="L87" s="597">
        <f>+J93</f>
        <v>2025</v>
      </c>
      <c r="M87" s="580" t="s">
        <v>52</v>
      </c>
      <c r="N87" s="580" t="s">
        <v>53</v>
      </c>
      <c r="O87" s="581" t="s">
        <v>55</v>
      </c>
    </row>
    <row r="88" spans="1:17" ht="15.75">
      <c r="C88" s="455"/>
      <c r="D88" s="47"/>
      <c r="E88" s="3"/>
      <c r="F88" s="3"/>
      <c r="H88" s="3"/>
      <c r="I88" s="517"/>
      <c r="J88" s="517"/>
      <c r="K88" s="518"/>
      <c r="L88" s="598" t="s">
        <v>243</v>
      </c>
      <c r="M88" s="599">
        <f>VLOOKUP(J93,C100:P159,10)</f>
        <v>4764985.4899237761</v>
      </c>
      <c r="N88" s="599">
        <f>VLOOKUP(J93,C100:P159,12)</f>
        <v>4764985.4899237761</v>
      </c>
      <c r="O88" s="600">
        <f>+N88-M88</f>
        <v>0</v>
      </c>
    </row>
    <row r="89" spans="1:17">
      <c r="C89" s="522" t="s">
        <v>96</v>
      </c>
      <c r="D89" s="1188" t="s">
        <v>838</v>
      </c>
      <c r="E89" s="1188"/>
      <c r="F89" s="1188"/>
      <c r="G89" s="1188"/>
      <c r="H89" s="1188"/>
      <c r="I89" s="1188"/>
      <c r="J89" s="494"/>
      <c r="K89" s="507"/>
      <c r="L89" s="598" t="s">
        <v>244</v>
      </c>
      <c r="M89" s="601">
        <f>VLOOKUP(J93,C100:P159,6)</f>
        <v>4954013.254648407</v>
      </c>
      <c r="N89" s="601">
        <f>VLOOKUP(J93,C100:P159,7)</f>
        <v>4954013.254648407</v>
      </c>
      <c r="O89" s="602">
        <f>+N89-M89</f>
        <v>0</v>
      </c>
    </row>
    <row r="90" spans="1:17" ht="13.5" thickBot="1">
      <c r="C90" s="526"/>
      <c r="D90" s="527"/>
      <c r="E90" s="510"/>
      <c r="F90" s="510"/>
      <c r="G90" s="510"/>
      <c r="H90" s="528"/>
      <c r="I90" s="494"/>
      <c r="J90" s="494"/>
      <c r="K90" s="507"/>
      <c r="L90" s="537" t="s">
        <v>245</v>
      </c>
      <c r="M90" s="603">
        <f>+M89-M88</f>
        <v>189027.76472463086</v>
      </c>
      <c r="N90" s="603">
        <f>+N89-N88</f>
        <v>189027.76472463086</v>
      </c>
      <c r="O90" s="604">
        <f>+O89-O88</f>
        <v>0</v>
      </c>
    </row>
    <row r="91" spans="1:17" ht="13.5" thickBot="1">
      <c r="C91" s="526"/>
      <c r="D91" s="3"/>
      <c r="E91" s="528"/>
      <c r="F91" s="528"/>
      <c r="G91" s="528"/>
      <c r="H91" s="528"/>
      <c r="I91" s="528"/>
      <c r="J91" s="528"/>
      <c r="K91" s="528"/>
      <c r="L91" s="528"/>
      <c r="M91" s="528"/>
      <c r="N91" s="528"/>
      <c r="O91" s="528"/>
    </row>
    <row r="92" spans="1:17" ht="13.5" thickBot="1">
      <c r="C92" s="529" t="s">
        <v>97</v>
      </c>
      <c r="D92" s="530"/>
      <c r="E92" s="530"/>
      <c r="F92" s="530"/>
      <c r="G92" s="530"/>
      <c r="H92" s="530"/>
      <c r="I92" s="530"/>
      <c r="J92" s="530"/>
    </row>
    <row r="93" spans="1:17" ht="15">
      <c r="C93" s="532" t="s">
        <v>75</v>
      </c>
      <c r="D93" s="572">
        <v>38021786.159999996</v>
      </c>
      <c r="E93" s="3" t="s">
        <v>76</v>
      </c>
      <c r="H93" s="47"/>
      <c r="I93" s="47"/>
      <c r="J93" s="533">
        <v>2025</v>
      </c>
      <c r="K93" s="70"/>
      <c r="L93" s="1190" t="s">
        <v>77</v>
      </c>
      <c r="M93" s="1190"/>
      <c r="N93" s="1190"/>
      <c r="O93" s="1190"/>
    </row>
    <row r="94" spans="1:17">
      <c r="C94" s="532" t="s">
        <v>78</v>
      </c>
      <c r="D94" s="573">
        <v>2016</v>
      </c>
      <c r="E94" s="532" t="s">
        <v>79</v>
      </c>
      <c r="F94" s="47"/>
      <c r="G94" s="47"/>
      <c r="I94"/>
      <c r="J94" s="574">
        <f>IF(H87="",0,$F$17)</f>
        <v>0</v>
      </c>
      <c r="K94" s="534"/>
      <c r="L94" s="507" t="s">
        <v>285</v>
      </c>
    </row>
    <row r="95" spans="1:17">
      <c r="C95" s="532" t="s">
        <v>80</v>
      </c>
      <c r="D95" s="572">
        <v>6</v>
      </c>
      <c r="E95" s="532" t="s">
        <v>81</v>
      </c>
      <c r="F95" s="47"/>
      <c r="G95" s="47"/>
      <c r="I95"/>
      <c r="J95" s="535">
        <f>$F$70</f>
        <v>0.13537191163280657</v>
      </c>
      <c r="K95" s="493"/>
      <c r="L95" s="3" t="str">
        <f>"          INPUT TRUE-UP ARR (WITH &amp; WITHOUT INCENTIVES) FROM EACH PRIOR YEAR"</f>
        <v xml:space="preserve">          INPUT TRUE-UP ARR (WITH &amp; WITHOUT INCENTIVES) FROM EACH PRIOR YEAR</v>
      </c>
    </row>
    <row r="96" spans="1:17">
      <c r="C96" s="532" t="s">
        <v>82</v>
      </c>
      <c r="D96" s="536">
        <f>H$79</f>
        <v>43</v>
      </c>
      <c r="E96" s="532" t="s">
        <v>83</v>
      </c>
      <c r="F96" s="47"/>
      <c r="G96" s="47"/>
      <c r="I96"/>
      <c r="J96" s="535">
        <f>IF(H87="",+J95,$F$69)</f>
        <v>0.13537191163280657</v>
      </c>
      <c r="K96" s="493"/>
      <c r="L96" s="3" t="s">
        <v>165</v>
      </c>
      <c r="M96" s="493"/>
      <c r="N96" s="493"/>
      <c r="O96" s="493"/>
    </row>
    <row r="97" spans="2:16" ht="13.5" thickBot="1">
      <c r="C97" s="532" t="s">
        <v>84</v>
      </c>
      <c r="D97" s="571" t="s">
        <v>839</v>
      </c>
      <c r="E97" s="537" t="s">
        <v>85</v>
      </c>
      <c r="F97" s="538"/>
      <c r="G97" s="538"/>
      <c r="H97" s="539"/>
      <c r="I97" s="539"/>
      <c r="J97" s="525">
        <f>IF(D93=0,0,D93/D96)</f>
        <v>884227.58511627896</v>
      </c>
      <c r="K97" s="507"/>
      <c r="L97" s="507" t="s">
        <v>166</v>
      </c>
      <c r="M97" s="507"/>
      <c r="N97" s="507"/>
      <c r="O97" s="507"/>
    </row>
    <row r="98" spans="2:16" ht="38.25">
      <c r="B98" s="454"/>
      <c r="C98" s="540" t="s">
        <v>75</v>
      </c>
      <c r="D98" s="541" t="s">
        <v>86</v>
      </c>
      <c r="E98" s="542" t="s">
        <v>87</v>
      </c>
      <c r="F98" s="541" t="s">
        <v>88</v>
      </c>
      <c r="G98" s="541" t="s">
        <v>246</v>
      </c>
      <c r="H98" s="542" t="s">
        <v>159</v>
      </c>
      <c r="I98" s="543" t="s">
        <v>159</v>
      </c>
      <c r="J98" s="540" t="s">
        <v>98</v>
      </c>
      <c r="K98" s="544"/>
      <c r="L98" s="542" t="s">
        <v>161</v>
      </c>
      <c r="M98" s="542" t="s">
        <v>167</v>
      </c>
      <c r="N98" s="542" t="s">
        <v>161</v>
      </c>
      <c r="O98" s="542" t="s">
        <v>169</v>
      </c>
      <c r="P98" s="542" t="s">
        <v>89</v>
      </c>
    </row>
    <row r="99" spans="2:16" ht="13.5" thickBot="1">
      <c r="C99" s="546" t="s">
        <v>477</v>
      </c>
      <c r="D99" s="547" t="s">
        <v>478</v>
      </c>
      <c r="E99" s="546" t="s">
        <v>371</v>
      </c>
      <c r="F99" s="547" t="s">
        <v>478</v>
      </c>
      <c r="G99" s="547" t="s">
        <v>478</v>
      </c>
      <c r="H99" s="548" t="s">
        <v>101</v>
      </c>
      <c r="I99" s="549" t="s">
        <v>103</v>
      </c>
      <c r="J99" s="546" t="s">
        <v>15</v>
      </c>
      <c r="K99" s="550"/>
      <c r="L99" s="548" t="s">
        <v>90</v>
      </c>
      <c r="M99" s="548" t="s">
        <v>90</v>
      </c>
      <c r="N99" s="548" t="s">
        <v>263</v>
      </c>
      <c r="O99" s="548" t="s">
        <v>263</v>
      </c>
      <c r="P99" s="548" t="s">
        <v>263</v>
      </c>
    </row>
    <row r="100" spans="2:16">
      <c r="C100" s="552">
        <f>IF(D94= "","-",D94)</f>
        <v>2016</v>
      </c>
      <c r="D100" s="510">
        <f>+D93</f>
        <v>38021786.159999996</v>
      </c>
      <c r="E100" s="558">
        <f>+J97/12*(12-D95)</f>
        <v>442113.79255813948</v>
      </c>
      <c r="F100" s="605">
        <f t="shared" ref="F100:F159" si="0">+D100-E100</f>
        <v>37579672.367441855</v>
      </c>
      <c r="G100" s="510">
        <f>+(D100+F100)/2</f>
        <v>37800729.26372093</v>
      </c>
      <c r="H100" s="554">
        <f>+J95*G100+E100</f>
        <v>5559270.7741022138</v>
      </c>
      <c r="I100" s="555">
        <f>+J96*G100+E100</f>
        <v>5559270.7741022138</v>
      </c>
      <c r="J100" s="556">
        <f>+I100-H100</f>
        <v>0</v>
      </c>
      <c r="K100" s="556"/>
      <c r="L100" s="575">
        <v>3748292</v>
      </c>
      <c r="M100" s="606">
        <f t="shared" ref="M100:M159" si="1">IF(L100&lt;&gt;0,+H100-L100,0)</f>
        <v>1810978.7741022138</v>
      </c>
      <c r="N100" s="575">
        <v>3748292</v>
      </c>
      <c r="O100" s="606">
        <f t="shared" ref="O100:O159" si="2">IF(N100&lt;&gt;0,+I100-N100,0)</f>
        <v>1810978.7741022138</v>
      </c>
      <c r="P100" s="606">
        <f t="shared" ref="P100:P159" si="3">+O100-M100</f>
        <v>0</v>
      </c>
    </row>
    <row r="101" spans="2:16">
      <c r="C101" s="552">
        <f>IF(D94="","-",+C100+1)</f>
        <v>2017</v>
      </c>
      <c r="D101" s="510">
        <f t="shared" ref="D101:D159" si="4">F100</f>
        <v>37579672.367441855</v>
      </c>
      <c r="E101" s="553">
        <f>IF(D101&gt;$J$97,$J$97,D101)</f>
        <v>884227.58511627896</v>
      </c>
      <c r="F101" s="553">
        <f t="shared" si="0"/>
        <v>36695444.782325573</v>
      </c>
      <c r="G101" s="510">
        <f t="shared" ref="G101:G159" si="5">+(D101+F101)/2</f>
        <v>37137558.574883714</v>
      </c>
      <c r="H101" s="558">
        <f>+J95*G101+E101</f>
        <v>5911609.8827736154</v>
      </c>
      <c r="I101" s="559">
        <f>+J96*G101+E101</f>
        <v>5911609.8827736154</v>
      </c>
      <c r="J101" s="556">
        <f>+I101-H101</f>
        <v>0</v>
      </c>
      <c r="K101" s="556"/>
      <c r="L101" s="576">
        <v>5097838</v>
      </c>
      <c r="M101" s="556">
        <f t="shared" si="1"/>
        <v>813771.88277361542</v>
      </c>
      <c r="N101" s="576">
        <v>5097838</v>
      </c>
      <c r="O101" s="556">
        <f t="shared" si="2"/>
        <v>813771.88277361542</v>
      </c>
      <c r="P101" s="556">
        <f t="shared" si="3"/>
        <v>0</v>
      </c>
    </row>
    <row r="102" spans="2:16">
      <c r="C102" s="552">
        <f>IF(D94="","-",+C101+1)</f>
        <v>2018</v>
      </c>
      <c r="D102" s="1030">
        <f t="shared" si="4"/>
        <v>36695444.782325573</v>
      </c>
      <c r="E102" s="553">
        <f t="shared" ref="E102:E159" si="6">IF(D102&gt;$J$97,$J$97,D102)</f>
        <v>884227.58511627896</v>
      </c>
      <c r="F102" s="553">
        <f t="shared" si="0"/>
        <v>35811217.197209291</v>
      </c>
      <c r="G102" s="510">
        <f t="shared" si="5"/>
        <v>36253330.989767432</v>
      </c>
      <c r="H102" s="558">
        <f>+J95*G102+E102</f>
        <v>5791910.3042579638</v>
      </c>
      <c r="I102" s="559">
        <f>+J96*G102+E102</f>
        <v>5791910.3042579638</v>
      </c>
      <c r="J102" s="556">
        <f t="shared" ref="J102:J159" si="7">+I102-H102</f>
        <v>0</v>
      </c>
      <c r="K102" s="556"/>
      <c r="L102" s="576">
        <v>4201672</v>
      </c>
      <c r="M102" s="556">
        <f t="shared" si="1"/>
        <v>1590238.3042579638</v>
      </c>
      <c r="N102" s="576">
        <v>4201672</v>
      </c>
      <c r="O102" s="556">
        <f t="shared" si="2"/>
        <v>1590238.3042579638</v>
      </c>
      <c r="P102" s="556">
        <f t="shared" si="3"/>
        <v>0</v>
      </c>
    </row>
    <row r="103" spans="2:16">
      <c r="C103" s="552">
        <f>IF(D94="","-",+C102+1)</f>
        <v>2019</v>
      </c>
      <c r="D103" s="510">
        <f t="shared" si="4"/>
        <v>35811217.197209291</v>
      </c>
      <c r="E103" s="553">
        <f t="shared" si="6"/>
        <v>884227.58511627896</v>
      </c>
      <c r="F103" s="553">
        <f t="shared" si="0"/>
        <v>34926989.612093009</v>
      </c>
      <c r="G103" s="510">
        <f t="shared" si="5"/>
        <v>35369103.40465115</v>
      </c>
      <c r="H103" s="558">
        <f>+J95*G103+E103</f>
        <v>5672210.7257423131</v>
      </c>
      <c r="I103" s="559">
        <f>+J96*G103+E103</f>
        <v>5672210.7257423131</v>
      </c>
      <c r="J103" s="556">
        <f t="shared" si="7"/>
        <v>0</v>
      </c>
      <c r="K103" s="556"/>
      <c r="L103" s="576">
        <v>4412110.5761476783</v>
      </c>
      <c r="M103" s="556">
        <f t="shared" si="1"/>
        <v>1260100.1495946348</v>
      </c>
      <c r="N103" s="576">
        <v>4412110.5761476783</v>
      </c>
      <c r="O103" s="556">
        <f t="shared" si="2"/>
        <v>1260100.1495946348</v>
      </c>
      <c r="P103" s="556">
        <f t="shared" si="3"/>
        <v>0</v>
      </c>
    </row>
    <row r="104" spans="2:16">
      <c r="C104" s="552">
        <f>IF(D94="","-",+C103+1)</f>
        <v>2020</v>
      </c>
      <c r="D104" s="510">
        <f t="shared" si="4"/>
        <v>34926989.612093009</v>
      </c>
      <c r="E104" s="553">
        <f t="shared" si="6"/>
        <v>884227.58511627896</v>
      </c>
      <c r="F104" s="553">
        <f t="shared" si="0"/>
        <v>34042762.026976727</v>
      </c>
      <c r="G104" s="510">
        <f t="shared" si="5"/>
        <v>34484875.819534868</v>
      </c>
      <c r="H104" s="558">
        <f>+J95*G104+E104</f>
        <v>5552511.1472266614</v>
      </c>
      <c r="I104" s="559">
        <f>+J96*G104+E104</f>
        <v>5552511.1472266614</v>
      </c>
      <c r="J104" s="556">
        <f t="shared" si="7"/>
        <v>0</v>
      </c>
      <c r="K104" s="556"/>
      <c r="L104" s="576">
        <v>4517755.936000254</v>
      </c>
      <c r="M104" s="556">
        <f t="shared" si="1"/>
        <v>1034755.2112264074</v>
      </c>
      <c r="N104" s="576">
        <v>4517755.936000254</v>
      </c>
      <c r="O104" s="556">
        <f t="shared" si="2"/>
        <v>1034755.2112264074</v>
      </c>
      <c r="P104" s="556">
        <f t="shared" si="3"/>
        <v>0</v>
      </c>
    </row>
    <row r="105" spans="2:16">
      <c r="C105" s="552">
        <f>IF(D94="","-",+C104+1)</f>
        <v>2021</v>
      </c>
      <c r="D105" s="510">
        <f t="shared" si="4"/>
        <v>34042762.026976727</v>
      </c>
      <c r="E105" s="553">
        <f t="shared" si="6"/>
        <v>884227.58511627896</v>
      </c>
      <c r="F105" s="553">
        <f t="shared" si="0"/>
        <v>33158534.441860449</v>
      </c>
      <c r="G105" s="510">
        <f t="shared" si="5"/>
        <v>33600648.234418586</v>
      </c>
      <c r="H105" s="558">
        <f>+J95*G105+E105</f>
        <v>5432811.5687110098</v>
      </c>
      <c r="I105" s="559">
        <f>+J96*G105+E105</f>
        <v>5432811.5687110098</v>
      </c>
      <c r="J105" s="556">
        <f t="shared" si="7"/>
        <v>0</v>
      </c>
      <c r="K105" s="556"/>
      <c r="L105" s="576">
        <v>4259250.911997051</v>
      </c>
      <c r="M105" s="556">
        <f t="shared" si="1"/>
        <v>1173560.6567139588</v>
      </c>
      <c r="N105" s="576">
        <v>4259250.911997051</v>
      </c>
      <c r="O105" s="556">
        <f t="shared" si="2"/>
        <v>1173560.6567139588</v>
      </c>
      <c r="P105" s="556">
        <f t="shared" si="3"/>
        <v>0</v>
      </c>
    </row>
    <row r="106" spans="2:16">
      <c r="C106" s="552">
        <f>IF(D94="","-",+C105+1)</f>
        <v>2022</v>
      </c>
      <c r="D106" s="510">
        <f t="shared" si="4"/>
        <v>33158534.441860449</v>
      </c>
      <c r="E106" s="553">
        <f t="shared" si="6"/>
        <v>884227.58511627896</v>
      </c>
      <c r="F106" s="553">
        <f t="shared" si="0"/>
        <v>32274306.85674417</v>
      </c>
      <c r="G106" s="510">
        <f t="shared" si="5"/>
        <v>32716420.649302311</v>
      </c>
      <c r="H106" s="558">
        <f>+J95*G106+E106</f>
        <v>5313111.99019536</v>
      </c>
      <c r="I106" s="559">
        <f>+J96*G106+E106</f>
        <v>5313111.99019536</v>
      </c>
      <c r="J106" s="556">
        <f t="shared" si="7"/>
        <v>0</v>
      </c>
      <c r="K106" s="556"/>
      <c r="L106" s="576">
        <v>5113210.3419878734</v>
      </c>
      <c r="M106" s="556">
        <f t="shared" si="1"/>
        <v>199901.64820748661</v>
      </c>
      <c r="N106" s="576">
        <v>5113210.3419878734</v>
      </c>
      <c r="O106" s="556">
        <f t="shared" si="2"/>
        <v>199901.64820748661</v>
      </c>
      <c r="P106" s="556">
        <f t="shared" si="3"/>
        <v>0</v>
      </c>
    </row>
    <row r="107" spans="2:16">
      <c r="C107" s="552">
        <f>IF(D94="","-",+C106+1)</f>
        <v>2023</v>
      </c>
      <c r="D107" s="510">
        <f t="shared" si="4"/>
        <v>32274306.85674417</v>
      </c>
      <c r="E107" s="553">
        <f t="shared" si="6"/>
        <v>884227.58511627896</v>
      </c>
      <c r="F107" s="553">
        <f t="shared" si="0"/>
        <v>31390079.271627892</v>
      </c>
      <c r="G107" s="510">
        <f t="shared" si="5"/>
        <v>31832193.064186029</v>
      </c>
      <c r="H107" s="558">
        <f>+J95*G107+E107</f>
        <v>5193412.4116797084</v>
      </c>
      <c r="I107" s="559">
        <f>+J96*G107+E107</f>
        <v>5193412.4116797084</v>
      </c>
      <c r="J107" s="556">
        <f t="shared" si="7"/>
        <v>0</v>
      </c>
      <c r="K107" s="556"/>
      <c r="L107" s="576">
        <v>5001392.4777250346</v>
      </c>
      <c r="M107" s="556">
        <f t="shared" si="1"/>
        <v>192019.93395467382</v>
      </c>
      <c r="N107" s="576">
        <v>5001392.4777250346</v>
      </c>
      <c r="O107" s="556">
        <f t="shared" si="2"/>
        <v>192019.93395467382</v>
      </c>
      <c r="P107" s="556">
        <f t="shared" si="3"/>
        <v>0</v>
      </c>
    </row>
    <row r="108" spans="2:16">
      <c r="C108" s="552">
        <f>IF(D94="","-",+C107+1)</f>
        <v>2024</v>
      </c>
      <c r="D108" s="510">
        <f t="shared" si="4"/>
        <v>31390079.271627892</v>
      </c>
      <c r="E108" s="553">
        <f t="shared" si="6"/>
        <v>884227.58511627896</v>
      </c>
      <c r="F108" s="553">
        <f t="shared" si="0"/>
        <v>30505851.686511613</v>
      </c>
      <c r="G108" s="510">
        <f t="shared" si="5"/>
        <v>30947965.479069754</v>
      </c>
      <c r="H108" s="558">
        <f>+J95*G108+E108</f>
        <v>5073712.8331640577</v>
      </c>
      <c r="I108" s="559">
        <f>+J96*G108+E108</f>
        <v>5073712.8331640577</v>
      </c>
      <c r="J108" s="556">
        <f t="shared" si="7"/>
        <v>0</v>
      </c>
      <c r="K108" s="556"/>
      <c r="L108" s="576">
        <v>4876605.2974782176</v>
      </c>
      <c r="M108" s="556">
        <f t="shared" si="1"/>
        <v>197107.53568584006</v>
      </c>
      <c r="N108" s="576">
        <v>4876605.2974782176</v>
      </c>
      <c r="O108" s="556">
        <f t="shared" si="2"/>
        <v>197107.53568584006</v>
      </c>
      <c r="P108" s="556">
        <f t="shared" si="3"/>
        <v>0</v>
      </c>
    </row>
    <row r="109" spans="2:16">
      <c r="C109" s="552">
        <f>IF(D94="","-",+C108+1)</f>
        <v>2025</v>
      </c>
      <c r="D109" s="510">
        <f t="shared" si="4"/>
        <v>30505851.686511613</v>
      </c>
      <c r="E109" s="553">
        <f t="shared" si="6"/>
        <v>884227.58511627896</v>
      </c>
      <c r="F109" s="553">
        <f t="shared" si="0"/>
        <v>29621624.101395335</v>
      </c>
      <c r="G109" s="510">
        <f t="shared" si="5"/>
        <v>30063737.893953472</v>
      </c>
      <c r="H109" s="558">
        <f>+J95*G109+E109</f>
        <v>4954013.254648407</v>
      </c>
      <c r="I109" s="559">
        <f>+J96*G109+E109</f>
        <v>4954013.254648407</v>
      </c>
      <c r="J109" s="556">
        <f t="shared" si="7"/>
        <v>0</v>
      </c>
      <c r="K109" s="556"/>
      <c r="L109" s="576">
        <v>4764985.4899237761</v>
      </c>
      <c r="M109" s="556">
        <f t="shared" si="1"/>
        <v>189027.76472463086</v>
      </c>
      <c r="N109" s="576">
        <v>4764985.4899237761</v>
      </c>
      <c r="O109" s="556">
        <f t="shared" si="2"/>
        <v>189027.76472463086</v>
      </c>
      <c r="P109" s="556">
        <f t="shared" si="3"/>
        <v>0</v>
      </c>
    </row>
    <row r="110" spans="2:16">
      <c r="C110" s="552">
        <f>IF(D94="","-",+C109+1)</f>
        <v>2026</v>
      </c>
      <c r="D110" s="510">
        <f t="shared" si="4"/>
        <v>29621624.101395335</v>
      </c>
      <c r="E110" s="553">
        <f t="shared" si="6"/>
        <v>884227.58511627896</v>
      </c>
      <c r="F110" s="553">
        <f t="shared" si="0"/>
        <v>28737396.516279057</v>
      </c>
      <c r="G110" s="510">
        <f t="shared" si="5"/>
        <v>29179510.308837198</v>
      </c>
      <c r="H110" s="558">
        <f>+J95*G110+E110</f>
        <v>4834313.6761327563</v>
      </c>
      <c r="I110" s="559">
        <f>+J96*G110+E110</f>
        <v>4834313.6761327563</v>
      </c>
      <c r="J110" s="556">
        <f t="shared" si="7"/>
        <v>0</v>
      </c>
      <c r="K110" s="556"/>
      <c r="L110" s="576"/>
      <c r="M110" s="556">
        <f t="shared" si="1"/>
        <v>0</v>
      </c>
      <c r="N110" s="576"/>
      <c r="O110" s="556">
        <f t="shared" si="2"/>
        <v>0</v>
      </c>
      <c r="P110" s="556">
        <f t="shared" si="3"/>
        <v>0</v>
      </c>
    </row>
    <row r="111" spans="2:16">
      <c r="C111" s="552">
        <f>IF(D94="","-",+C110+1)</f>
        <v>2027</v>
      </c>
      <c r="D111" s="510">
        <f t="shared" si="4"/>
        <v>28737396.516279057</v>
      </c>
      <c r="E111" s="553">
        <f t="shared" si="6"/>
        <v>884227.58511627896</v>
      </c>
      <c r="F111" s="553">
        <f t="shared" si="0"/>
        <v>27853168.931162778</v>
      </c>
      <c r="G111" s="510">
        <f t="shared" si="5"/>
        <v>28295282.723720916</v>
      </c>
      <c r="H111" s="558">
        <f>+J95*G111+E111</f>
        <v>4714614.0976171056</v>
      </c>
      <c r="I111" s="559">
        <f>+J96*G111+E111</f>
        <v>4714614.0976171056</v>
      </c>
      <c r="J111" s="556">
        <f t="shared" si="7"/>
        <v>0</v>
      </c>
      <c r="K111" s="556"/>
      <c r="L111" s="576"/>
      <c r="M111" s="556">
        <f t="shared" si="1"/>
        <v>0</v>
      </c>
      <c r="N111" s="576"/>
      <c r="O111" s="556">
        <f t="shared" si="2"/>
        <v>0</v>
      </c>
      <c r="P111" s="556">
        <f t="shared" si="3"/>
        <v>0</v>
      </c>
    </row>
    <row r="112" spans="2:16">
      <c r="C112" s="552">
        <f>IF(D94="","-",+C111+1)</f>
        <v>2028</v>
      </c>
      <c r="D112" s="510">
        <f t="shared" si="4"/>
        <v>27853168.931162778</v>
      </c>
      <c r="E112" s="553">
        <f t="shared" si="6"/>
        <v>884227.58511627896</v>
      </c>
      <c r="F112" s="553">
        <f t="shared" si="0"/>
        <v>26968941.3460465</v>
      </c>
      <c r="G112" s="510">
        <f t="shared" si="5"/>
        <v>27411055.138604641</v>
      </c>
      <c r="H112" s="558">
        <f>+J95*G112+E112</f>
        <v>4594914.5191014549</v>
      </c>
      <c r="I112" s="559">
        <f>+J96*G112+E112</f>
        <v>4594914.5191014549</v>
      </c>
      <c r="J112" s="556">
        <f t="shared" si="7"/>
        <v>0</v>
      </c>
      <c r="K112" s="556"/>
      <c r="L112" s="576"/>
      <c r="M112" s="556">
        <f t="shared" si="1"/>
        <v>0</v>
      </c>
      <c r="N112" s="576"/>
      <c r="O112" s="556">
        <f t="shared" si="2"/>
        <v>0</v>
      </c>
      <c r="P112" s="556">
        <f t="shared" si="3"/>
        <v>0</v>
      </c>
    </row>
    <row r="113" spans="3:16">
      <c r="C113" s="552">
        <f>IF(D94="","-",+C112+1)</f>
        <v>2029</v>
      </c>
      <c r="D113" s="510">
        <f t="shared" si="4"/>
        <v>26968941.3460465</v>
      </c>
      <c r="E113" s="553">
        <f t="shared" si="6"/>
        <v>884227.58511627896</v>
      </c>
      <c r="F113" s="553">
        <f t="shared" si="0"/>
        <v>26084713.760930222</v>
      </c>
      <c r="G113" s="510">
        <f t="shared" si="5"/>
        <v>26526827.553488359</v>
      </c>
      <c r="H113" s="558">
        <f>+J95*G113+E113</f>
        <v>4475214.9405858032</v>
      </c>
      <c r="I113" s="559">
        <f>+J96*G113+E113</f>
        <v>4475214.9405858032</v>
      </c>
      <c r="J113" s="556">
        <f t="shared" si="7"/>
        <v>0</v>
      </c>
      <c r="K113" s="556"/>
      <c r="L113" s="576"/>
      <c r="M113" s="556">
        <f t="shared" si="1"/>
        <v>0</v>
      </c>
      <c r="N113" s="576"/>
      <c r="O113" s="556">
        <f t="shared" si="2"/>
        <v>0</v>
      </c>
      <c r="P113" s="556">
        <f t="shared" si="3"/>
        <v>0</v>
      </c>
    </row>
    <row r="114" spans="3:16">
      <c r="C114" s="552">
        <f>IF(D94="","-",+C113+1)</f>
        <v>2030</v>
      </c>
      <c r="D114" s="510">
        <f t="shared" si="4"/>
        <v>26084713.760930222</v>
      </c>
      <c r="E114" s="553">
        <f t="shared" si="6"/>
        <v>884227.58511627896</v>
      </c>
      <c r="F114" s="553">
        <f t="shared" si="0"/>
        <v>25200486.175813943</v>
      </c>
      <c r="G114" s="510">
        <f t="shared" si="5"/>
        <v>25642599.968372084</v>
      </c>
      <c r="H114" s="558">
        <f>+J95*G114+E114</f>
        <v>4355515.3620701535</v>
      </c>
      <c r="I114" s="559">
        <f>+J96*G114+E114</f>
        <v>4355515.3620701535</v>
      </c>
      <c r="J114" s="556">
        <f t="shared" si="7"/>
        <v>0</v>
      </c>
      <c r="K114" s="556"/>
      <c r="L114" s="576"/>
      <c r="M114" s="556">
        <f t="shared" si="1"/>
        <v>0</v>
      </c>
      <c r="N114" s="576"/>
      <c r="O114" s="556">
        <f t="shared" si="2"/>
        <v>0</v>
      </c>
      <c r="P114" s="556">
        <f t="shared" si="3"/>
        <v>0</v>
      </c>
    </row>
    <row r="115" spans="3:16">
      <c r="C115" s="552">
        <f>IF(D94="","-",+C114+1)</f>
        <v>2031</v>
      </c>
      <c r="D115" s="510">
        <f t="shared" si="4"/>
        <v>25200486.175813943</v>
      </c>
      <c r="E115" s="553">
        <f t="shared" si="6"/>
        <v>884227.58511627896</v>
      </c>
      <c r="F115" s="553">
        <f t="shared" si="0"/>
        <v>24316258.590697665</v>
      </c>
      <c r="G115" s="510">
        <f t="shared" si="5"/>
        <v>24758372.383255802</v>
      </c>
      <c r="H115" s="558">
        <f>+J95*G115+E115</f>
        <v>4235815.7835545018</v>
      </c>
      <c r="I115" s="559">
        <f>+J96*G115+E115</f>
        <v>4235815.7835545018</v>
      </c>
      <c r="J115" s="556">
        <f t="shared" si="7"/>
        <v>0</v>
      </c>
      <c r="K115" s="556"/>
      <c r="L115" s="576"/>
      <c r="M115" s="556">
        <f t="shared" si="1"/>
        <v>0</v>
      </c>
      <c r="N115" s="576"/>
      <c r="O115" s="556">
        <f t="shared" si="2"/>
        <v>0</v>
      </c>
      <c r="P115" s="556">
        <f t="shared" si="3"/>
        <v>0</v>
      </c>
    </row>
    <row r="116" spans="3:16">
      <c r="C116" s="552">
        <f>IF(D94="","-",+C115+1)</f>
        <v>2032</v>
      </c>
      <c r="D116" s="510">
        <f t="shared" si="4"/>
        <v>24316258.590697665</v>
      </c>
      <c r="E116" s="553">
        <f t="shared" si="6"/>
        <v>884227.58511627896</v>
      </c>
      <c r="F116" s="553">
        <f t="shared" si="0"/>
        <v>23432031.005581386</v>
      </c>
      <c r="G116" s="510">
        <f t="shared" si="5"/>
        <v>23874144.798139527</v>
      </c>
      <c r="H116" s="558">
        <f>+J95*G116+E116</f>
        <v>4116116.2050388516</v>
      </c>
      <c r="I116" s="559">
        <f>+J96*G116+E116</f>
        <v>4116116.2050388516</v>
      </c>
      <c r="J116" s="556">
        <f t="shared" si="7"/>
        <v>0</v>
      </c>
      <c r="K116" s="556"/>
      <c r="L116" s="576"/>
      <c r="M116" s="556">
        <f t="shared" si="1"/>
        <v>0</v>
      </c>
      <c r="N116" s="576"/>
      <c r="O116" s="556">
        <f t="shared" si="2"/>
        <v>0</v>
      </c>
      <c r="P116" s="556">
        <f t="shared" si="3"/>
        <v>0</v>
      </c>
    </row>
    <row r="117" spans="3:16">
      <c r="C117" s="552">
        <f>IF(D94="","-",+C116+1)</f>
        <v>2033</v>
      </c>
      <c r="D117" s="510">
        <f t="shared" si="4"/>
        <v>23432031.005581386</v>
      </c>
      <c r="E117" s="553">
        <f t="shared" si="6"/>
        <v>884227.58511627896</v>
      </c>
      <c r="F117" s="553">
        <f t="shared" si="0"/>
        <v>22547803.420465108</v>
      </c>
      <c r="G117" s="510">
        <f t="shared" si="5"/>
        <v>22989917.213023245</v>
      </c>
      <c r="H117" s="558">
        <f>+J95*G117+E117</f>
        <v>3996416.6265232004</v>
      </c>
      <c r="I117" s="559">
        <f>+J96*G117+E117</f>
        <v>3996416.6265232004</v>
      </c>
      <c r="J117" s="556">
        <f t="shared" si="7"/>
        <v>0</v>
      </c>
      <c r="K117" s="556"/>
      <c r="L117" s="576"/>
      <c r="M117" s="556">
        <f t="shared" si="1"/>
        <v>0</v>
      </c>
      <c r="N117" s="576"/>
      <c r="O117" s="556">
        <f t="shared" si="2"/>
        <v>0</v>
      </c>
      <c r="P117" s="556">
        <f t="shared" si="3"/>
        <v>0</v>
      </c>
    </row>
    <row r="118" spans="3:16">
      <c r="C118" s="552">
        <f>IF(D94="","-",+C117+1)</f>
        <v>2034</v>
      </c>
      <c r="D118" s="510">
        <f t="shared" si="4"/>
        <v>22547803.420465108</v>
      </c>
      <c r="E118" s="553">
        <f t="shared" si="6"/>
        <v>884227.58511627896</v>
      </c>
      <c r="F118" s="553">
        <f t="shared" si="0"/>
        <v>21663575.83534883</v>
      </c>
      <c r="G118" s="510">
        <f t="shared" si="5"/>
        <v>22105689.627906971</v>
      </c>
      <c r="H118" s="558">
        <f>+J95*G118+E118</f>
        <v>3876717.0480075502</v>
      </c>
      <c r="I118" s="559">
        <f>+J96*G118+E118</f>
        <v>3876717.0480075502</v>
      </c>
      <c r="J118" s="556">
        <f t="shared" si="7"/>
        <v>0</v>
      </c>
      <c r="K118" s="556"/>
      <c r="L118" s="576"/>
      <c r="M118" s="556">
        <f t="shared" si="1"/>
        <v>0</v>
      </c>
      <c r="N118" s="576"/>
      <c r="O118" s="556">
        <f t="shared" si="2"/>
        <v>0</v>
      </c>
      <c r="P118" s="556">
        <f t="shared" si="3"/>
        <v>0</v>
      </c>
    </row>
    <row r="119" spans="3:16">
      <c r="C119" s="552">
        <f>IF(D94="","-",+C118+1)</f>
        <v>2035</v>
      </c>
      <c r="D119" s="510">
        <f t="shared" si="4"/>
        <v>21663575.83534883</v>
      </c>
      <c r="E119" s="553">
        <f t="shared" si="6"/>
        <v>884227.58511627896</v>
      </c>
      <c r="F119" s="553">
        <f t="shared" si="0"/>
        <v>20779348.250232551</v>
      </c>
      <c r="G119" s="510">
        <f t="shared" si="5"/>
        <v>21221462.042790689</v>
      </c>
      <c r="H119" s="558">
        <f>+J95*G119+E119</f>
        <v>3757017.4694918985</v>
      </c>
      <c r="I119" s="559">
        <f>+J96*G119+E119</f>
        <v>3757017.4694918985</v>
      </c>
      <c r="J119" s="556">
        <f t="shared" si="7"/>
        <v>0</v>
      </c>
      <c r="K119" s="556"/>
      <c r="L119" s="576"/>
      <c r="M119" s="556">
        <f t="shared" si="1"/>
        <v>0</v>
      </c>
      <c r="N119" s="576"/>
      <c r="O119" s="556">
        <f t="shared" si="2"/>
        <v>0</v>
      </c>
      <c r="P119" s="556">
        <f t="shared" si="3"/>
        <v>0</v>
      </c>
    </row>
    <row r="120" spans="3:16">
      <c r="C120" s="552">
        <f>IF(D94="","-",+C119+1)</f>
        <v>2036</v>
      </c>
      <c r="D120" s="510">
        <f t="shared" si="4"/>
        <v>20779348.250232551</v>
      </c>
      <c r="E120" s="553">
        <f t="shared" si="6"/>
        <v>884227.58511627896</v>
      </c>
      <c r="F120" s="553">
        <f t="shared" si="0"/>
        <v>19895120.665116273</v>
      </c>
      <c r="G120" s="510">
        <f t="shared" si="5"/>
        <v>20337234.457674414</v>
      </c>
      <c r="H120" s="558">
        <f>+J95*G120+E120</f>
        <v>3637317.8909762483</v>
      </c>
      <c r="I120" s="559">
        <f>+J96*G120+E120</f>
        <v>3637317.8909762483</v>
      </c>
      <c r="J120" s="556">
        <f t="shared" si="7"/>
        <v>0</v>
      </c>
      <c r="K120" s="556"/>
      <c r="L120" s="576"/>
      <c r="M120" s="556">
        <f t="shared" si="1"/>
        <v>0</v>
      </c>
      <c r="N120" s="576"/>
      <c r="O120" s="556">
        <f t="shared" si="2"/>
        <v>0</v>
      </c>
      <c r="P120" s="556">
        <f t="shared" si="3"/>
        <v>0</v>
      </c>
    </row>
    <row r="121" spans="3:16">
      <c r="C121" s="552">
        <f>IF(D94="","-",+C120+1)</f>
        <v>2037</v>
      </c>
      <c r="D121" s="510">
        <f t="shared" si="4"/>
        <v>19895120.665116273</v>
      </c>
      <c r="E121" s="553">
        <f t="shared" si="6"/>
        <v>884227.58511627896</v>
      </c>
      <c r="F121" s="553">
        <f t="shared" si="0"/>
        <v>19010893.079999994</v>
      </c>
      <c r="G121" s="510">
        <f t="shared" si="5"/>
        <v>19453006.872558132</v>
      </c>
      <c r="H121" s="558">
        <f>+J95*G121+E121</f>
        <v>3517618.3124605971</v>
      </c>
      <c r="I121" s="559">
        <f>+J96*G121+E121</f>
        <v>3517618.3124605971</v>
      </c>
      <c r="J121" s="556">
        <f t="shared" si="7"/>
        <v>0</v>
      </c>
      <c r="K121" s="556"/>
      <c r="L121" s="576"/>
      <c r="M121" s="556">
        <f t="shared" si="1"/>
        <v>0</v>
      </c>
      <c r="N121" s="576"/>
      <c r="O121" s="556">
        <f t="shared" si="2"/>
        <v>0</v>
      </c>
      <c r="P121" s="556">
        <f t="shared" si="3"/>
        <v>0</v>
      </c>
    </row>
    <row r="122" spans="3:16">
      <c r="C122" s="552">
        <f>IF(D94="","-",+C121+1)</f>
        <v>2038</v>
      </c>
      <c r="D122" s="510">
        <f t="shared" si="4"/>
        <v>19010893.079999994</v>
      </c>
      <c r="E122" s="553">
        <f t="shared" si="6"/>
        <v>884227.58511627896</v>
      </c>
      <c r="F122" s="553">
        <f t="shared" si="0"/>
        <v>18126665.494883716</v>
      </c>
      <c r="G122" s="510">
        <f t="shared" si="5"/>
        <v>18568779.287441857</v>
      </c>
      <c r="H122" s="558">
        <f>+J95*G122+E122</f>
        <v>3397918.7339449469</v>
      </c>
      <c r="I122" s="559">
        <f>+J96*G122+E122</f>
        <v>3397918.7339449469</v>
      </c>
      <c r="J122" s="556">
        <f t="shared" si="7"/>
        <v>0</v>
      </c>
      <c r="K122" s="556"/>
      <c r="L122" s="576"/>
      <c r="M122" s="556">
        <f t="shared" si="1"/>
        <v>0</v>
      </c>
      <c r="N122" s="576"/>
      <c r="O122" s="556">
        <f t="shared" si="2"/>
        <v>0</v>
      </c>
      <c r="P122" s="556">
        <f t="shared" si="3"/>
        <v>0</v>
      </c>
    </row>
    <row r="123" spans="3:16">
      <c r="C123" s="552">
        <f>IF(D94="","-",+C122+1)</f>
        <v>2039</v>
      </c>
      <c r="D123" s="510">
        <f t="shared" si="4"/>
        <v>18126665.494883716</v>
      </c>
      <c r="E123" s="553">
        <f t="shared" si="6"/>
        <v>884227.58511627896</v>
      </c>
      <c r="F123" s="553">
        <f t="shared" si="0"/>
        <v>17242437.909767438</v>
      </c>
      <c r="G123" s="510">
        <f t="shared" si="5"/>
        <v>17684551.702325575</v>
      </c>
      <c r="H123" s="558">
        <f>+J95*G123+E123</f>
        <v>3278219.1554292957</v>
      </c>
      <c r="I123" s="559">
        <f>+J96*G123+E123</f>
        <v>3278219.1554292957</v>
      </c>
      <c r="J123" s="556">
        <f t="shared" si="7"/>
        <v>0</v>
      </c>
      <c r="K123" s="556"/>
      <c r="L123" s="576"/>
      <c r="M123" s="556">
        <f t="shared" si="1"/>
        <v>0</v>
      </c>
      <c r="N123" s="576"/>
      <c r="O123" s="556">
        <f t="shared" si="2"/>
        <v>0</v>
      </c>
      <c r="P123" s="556">
        <f t="shared" si="3"/>
        <v>0</v>
      </c>
    </row>
    <row r="124" spans="3:16">
      <c r="C124" s="552">
        <f>IF(D94="","-",+C123+1)</f>
        <v>2040</v>
      </c>
      <c r="D124" s="510">
        <f t="shared" si="4"/>
        <v>17242437.909767438</v>
      </c>
      <c r="E124" s="553">
        <f t="shared" si="6"/>
        <v>884227.58511627896</v>
      </c>
      <c r="F124" s="553">
        <f t="shared" si="0"/>
        <v>16358210.324651159</v>
      </c>
      <c r="G124" s="510">
        <f t="shared" si="5"/>
        <v>16800324.1172093</v>
      </c>
      <c r="H124" s="558">
        <f>+J95*G124+E124</f>
        <v>3158519.5769136455</v>
      </c>
      <c r="I124" s="559">
        <f>+J96*G124+E124</f>
        <v>3158519.5769136455</v>
      </c>
      <c r="J124" s="556">
        <f t="shared" si="7"/>
        <v>0</v>
      </c>
      <c r="K124" s="556"/>
      <c r="L124" s="576"/>
      <c r="M124" s="556">
        <f t="shared" si="1"/>
        <v>0</v>
      </c>
      <c r="N124" s="576"/>
      <c r="O124" s="556">
        <f t="shared" si="2"/>
        <v>0</v>
      </c>
      <c r="P124" s="556">
        <f t="shared" si="3"/>
        <v>0</v>
      </c>
    </row>
    <row r="125" spans="3:16">
      <c r="C125" s="552">
        <f>IF(D94="","-",+C124+1)</f>
        <v>2041</v>
      </c>
      <c r="D125" s="510">
        <f t="shared" si="4"/>
        <v>16358210.324651159</v>
      </c>
      <c r="E125" s="553">
        <f t="shared" si="6"/>
        <v>884227.58511627896</v>
      </c>
      <c r="F125" s="553">
        <f t="shared" si="0"/>
        <v>15473982.739534881</v>
      </c>
      <c r="G125" s="510">
        <f t="shared" si="5"/>
        <v>15916096.53209302</v>
      </c>
      <c r="H125" s="558">
        <f>+J95*G125+E125</f>
        <v>3038819.9983979943</v>
      </c>
      <c r="I125" s="559">
        <f>+J96*G125+E125</f>
        <v>3038819.9983979943</v>
      </c>
      <c r="J125" s="556">
        <f t="shared" si="7"/>
        <v>0</v>
      </c>
      <c r="K125" s="556"/>
      <c r="L125" s="576"/>
      <c r="M125" s="556">
        <f t="shared" si="1"/>
        <v>0</v>
      </c>
      <c r="N125" s="576"/>
      <c r="O125" s="556">
        <f t="shared" si="2"/>
        <v>0</v>
      </c>
      <c r="P125" s="556">
        <f t="shared" si="3"/>
        <v>0</v>
      </c>
    </row>
    <row r="126" spans="3:16">
      <c r="C126" s="552">
        <f>IF(D94="","-",+C125+1)</f>
        <v>2042</v>
      </c>
      <c r="D126" s="510">
        <f t="shared" si="4"/>
        <v>15473982.739534881</v>
      </c>
      <c r="E126" s="553">
        <f t="shared" si="6"/>
        <v>884227.58511627896</v>
      </c>
      <c r="F126" s="553">
        <f t="shared" si="0"/>
        <v>14589755.154418603</v>
      </c>
      <c r="G126" s="510">
        <f t="shared" si="5"/>
        <v>15031868.946976742</v>
      </c>
      <c r="H126" s="558">
        <f>+J95*G126+E126</f>
        <v>2919120.4198823436</v>
      </c>
      <c r="I126" s="559">
        <f>+J96*G126+E126</f>
        <v>2919120.4198823436</v>
      </c>
      <c r="J126" s="556">
        <f t="shared" si="7"/>
        <v>0</v>
      </c>
      <c r="K126" s="556"/>
      <c r="L126" s="576"/>
      <c r="M126" s="556">
        <f t="shared" si="1"/>
        <v>0</v>
      </c>
      <c r="N126" s="576"/>
      <c r="O126" s="556">
        <f t="shared" si="2"/>
        <v>0</v>
      </c>
      <c r="P126" s="556">
        <f t="shared" si="3"/>
        <v>0</v>
      </c>
    </row>
    <row r="127" spans="3:16">
      <c r="C127" s="552">
        <f>IF(D94="","-",+C126+1)</f>
        <v>2043</v>
      </c>
      <c r="D127" s="510">
        <f t="shared" si="4"/>
        <v>14589755.154418603</v>
      </c>
      <c r="E127" s="553">
        <f t="shared" si="6"/>
        <v>884227.58511627896</v>
      </c>
      <c r="F127" s="553">
        <f t="shared" si="0"/>
        <v>13705527.569302324</v>
      </c>
      <c r="G127" s="510">
        <f t="shared" si="5"/>
        <v>14147641.361860463</v>
      </c>
      <c r="H127" s="558">
        <f>+J95*G127+E127</f>
        <v>2799420.8413666929</v>
      </c>
      <c r="I127" s="559">
        <f>+J96*G127+E127</f>
        <v>2799420.8413666929</v>
      </c>
      <c r="J127" s="556">
        <f t="shared" si="7"/>
        <v>0</v>
      </c>
      <c r="K127" s="556"/>
      <c r="L127" s="576"/>
      <c r="M127" s="556">
        <f t="shared" si="1"/>
        <v>0</v>
      </c>
      <c r="N127" s="576"/>
      <c r="O127" s="556">
        <f t="shared" si="2"/>
        <v>0</v>
      </c>
      <c r="P127" s="556">
        <f t="shared" si="3"/>
        <v>0</v>
      </c>
    </row>
    <row r="128" spans="3:16">
      <c r="C128" s="552">
        <f>IF(D94="","-",+C127+1)</f>
        <v>2044</v>
      </c>
      <c r="D128" s="510">
        <f t="shared" si="4"/>
        <v>13705527.569302324</v>
      </c>
      <c r="E128" s="553">
        <f t="shared" si="6"/>
        <v>884227.58511627896</v>
      </c>
      <c r="F128" s="553">
        <f t="shared" si="0"/>
        <v>12821299.984186046</v>
      </c>
      <c r="G128" s="510">
        <f t="shared" si="5"/>
        <v>13263413.776744185</v>
      </c>
      <c r="H128" s="558">
        <f>+J95*G128+E128</f>
        <v>2679721.2628510422</v>
      </c>
      <c r="I128" s="559">
        <f>+J96*G128+E128</f>
        <v>2679721.2628510422</v>
      </c>
      <c r="J128" s="556">
        <f t="shared" si="7"/>
        <v>0</v>
      </c>
      <c r="K128" s="556"/>
      <c r="L128" s="576"/>
      <c r="M128" s="556">
        <f t="shared" si="1"/>
        <v>0</v>
      </c>
      <c r="N128" s="576"/>
      <c r="O128" s="556">
        <f t="shared" si="2"/>
        <v>0</v>
      </c>
      <c r="P128" s="556">
        <f t="shared" si="3"/>
        <v>0</v>
      </c>
    </row>
    <row r="129" spans="3:16">
      <c r="C129" s="552">
        <f>IF(D94="","-",+C128+1)</f>
        <v>2045</v>
      </c>
      <c r="D129" s="510">
        <f t="shared" si="4"/>
        <v>12821299.984186046</v>
      </c>
      <c r="E129" s="553">
        <f t="shared" si="6"/>
        <v>884227.58511627896</v>
      </c>
      <c r="F129" s="553">
        <f t="shared" si="0"/>
        <v>11937072.399069767</v>
      </c>
      <c r="G129" s="510">
        <f t="shared" si="5"/>
        <v>12379186.191627907</v>
      </c>
      <c r="H129" s="558">
        <f>+J95*G129+E129</f>
        <v>2560021.684335391</v>
      </c>
      <c r="I129" s="559">
        <f>+J96*G129+E129</f>
        <v>2560021.684335391</v>
      </c>
      <c r="J129" s="556">
        <f t="shared" si="7"/>
        <v>0</v>
      </c>
      <c r="K129" s="556"/>
      <c r="L129" s="576"/>
      <c r="M129" s="556">
        <f t="shared" si="1"/>
        <v>0</v>
      </c>
      <c r="N129" s="576"/>
      <c r="O129" s="556">
        <f t="shared" si="2"/>
        <v>0</v>
      </c>
      <c r="P129" s="556">
        <f t="shared" si="3"/>
        <v>0</v>
      </c>
    </row>
    <row r="130" spans="3:16">
      <c r="C130" s="552">
        <f>IF(D94="","-",+C129+1)</f>
        <v>2046</v>
      </c>
      <c r="D130" s="510">
        <f t="shared" si="4"/>
        <v>11937072.399069767</v>
      </c>
      <c r="E130" s="553">
        <f t="shared" si="6"/>
        <v>884227.58511627896</v>
      </c>
      <c r="F130" s="553">
        <f t="shared" si="0"/>
        <v>11052844.813953489</v>
      </c>
      <c r="G130" s="510">
        <f t="shared" si="5"/>
        <v>11494958.606511628</v>
      </c>
      <c r="H130" s="558">
        <f>+J95*G130+E130</f>
        <v>2440322.1058197403</v>
      </c>
      <c r="I130" s="559">
        <f>+J96*G130+E130</f>
        <v>2440322.1058197403</v>
      </c>
      <c r="J130" s="556">
        <f t="shared" si="7"/>
        <v>0</v>
      </c>
      <c r="K130" s="556"/>
      <c r="L130" s="576"/>
      <c r="M130" s="556">
        <f t="shared" si="1"/>
        <v>0</v>
      </c>
      <c r="N130" s="576"/>
      <c r="O130" s="556">
        <f t="shared" si="2"/>
        <v>0</v>
      </c>
      <c r="P130" s="556">
        <f t="shared" si="3"/>
        <v>0</v>
      </c>
    </row>
    <row r="131" spans="3:16">
      <c r="C131" s="552">
        <f>IF(D94="","-",+C130+1)</f>
        <v>2047</v>
      </c>
      <c r="D131" s="510">
        <f t="shared" si="4"/>
        <v>11052844.813953489</v>
      </c>
      <c r="E131" s="553">
        <f t="shared" si="6"/>
        <v>884227.58511627896</v>
      </c>
      <c r="F131" s="553">
        <f t="shared" si="0"/>
        <v>10168617.228837211</v>
      </c>
      <c r="G131" s="510">
        <f t="shared" si="5"/>
        <v>10610731.02139535</v>
      </c>
      <c r="H131" s="558">
        <f>+J95*G131+E131</f>
        <v>2320622.5273040896</v>
      </c>
      <c r="I131" s="559">
        <f>+J96*G131+E131</f>
        <v>2320622.5273040896</v>
      </c>
      <c r="J131" s="556">
        <f t="shared" si="7"/>
        <v>0</v>
      </c>
      <c r="K131" s="556"/>
      <c r="L131" s="576"/>
      <c r="M131" s="556">
        <f t="shared" si="1"/>
        <v>0</v>
      </c>
      <c r="N131" s="576"/>
      <c r="O131" s="556">
        <f t="shared" si="2"/>
        <v>0</v>
      </c>
      <c r="P131" s="556">
        <f t="shared" si="3"/>
        <v>0</v>
      </c>
    </row>
    <row r="132" spans="3:16">
      <c r="C132" s="552">
        <f>IF(D94="","-",+C131+1)</f>
        <v>2048</v>
      </c>
      <c r="D132" s="510">
        <f t="shared" si="4"/>
        <v>10168617.228837211</v>
      </c>
      <c r="E132" s="553">
        <f t="shared" si="6"/>
        <v>884227.58511627896</v>
      </c>
      <c r="F132" s="553">
        <f t="shared" si="0"/>
        <v>9284389.6437209323</v>
      </c>
      <c r="G132" s="510">
        <f t="shared" si="5"/>
        <v>9726503.4362790715</v>
      </c>
      <c r="H132" s="558">
        <f>+J95*G132+E132</f>
        <v>2200922.9487884389</v>
      </c>
      <c r="I132" s="559">
        <f>+J96*G132+E132</f>
        <v>2200922.9487884389</v>
      </c>
      <c r="J132" s="556">
        <f t="shared" si="7"/>
        <v>0</v>
      </c>
      <c r="K132" s="556"/>
      <c r="L132" s="576"/>
      <c r="M132" s="556">
        <f t="shared" si="1"/>
        <v>0</v>
      </c>
      <c r="N132" s="576"/>
      <c r="O132" s="556">
        <f t="shared" si="2"/>
        <v>0</v>
      </c>
      <c r="P132" s="556">
        <f t="shared" si="3"/>
        <v>0</v>
      </c>
    </row>
    <row r="133" spans="3:16">
      <c r="C133" s="552">
        <f>IF(D94="","-",+C132+1)</f>
        <v>2049</v>
      </c>
      <c r="D133" s="510">
        <f t="shared" si="4"/>
        <v>9284389.6437209323</v>
      </c>
      <c r="E133" s="553">
        <f t="shared" si="6"/>
        <v>884227.58511627896</v>
      </c>
      <c r="F133" s="553">
        <f t="shared" si="0"/>
        <v>8400162.0586046539</v>
      </c>
      <c r="G133" s="510">
        <f t="shared" si="5"/>
        <v>8842275.8511627931</v>
      </c>
      <c r="H133" s="558">
        <f>+J95*G133+E133</f>
        <v>2081223.3702727882</v>
      </c>
      <c r="I133" s="559">
        <f>+J96*G133+E133</f>
        <v>2081223.3702727882</v>
      </c>
      <c r="J133" s="556">
        <f t="shared" si="7"/>
        <v>0</v>
      </c>
      <c r="K133" s="556"/>
      <c r="L133" s="576"/>
      <c r="M133" s="556">
        <f t="shared" si="1"/>
        <v>0</v>
      </c>
      <c r="N133" s="576"/>
      <c r="O133" s="556">
        <f t="shared" si="2"/>
        <v>0</v>
      </c>
      <c r="P133" s="556">
        <f t="shared" si="3"/>
        <v>0</v>
      </c>
    </row>
    <row r="134" spans="3:16">
      <c r="C134" s="552">
        <f>IF(D94="","-",+C133+1)</f>
        <v>2050</v>
      </c>
      <c r="D134" s="510">
        <f t="shared" si="4"/>
        <v>8400162.0586046539</v>
      </c>
      <c r="E134" s="553">
        <f t="shared" si="6"/>
        <v>884227.58511627896</v>
      </c>
      <c r="F134" s="553">
        <f t="shared" si="0"/>
        <v>7515934.4734883746</v>
      </c>
      <c r="G134" s="510">
        <f t="shared" si="5"/>
        <v>7958048.2660465147</v>
      </c>
      <c r="H134" s="558">
        <f>+J95*G134+E134</f>
        <v>1961523.7917571375</v>
      </c>
      <c r="I134" s="559">
        <f>+J96*G134+E134</f>
        <v>1961523.7917571375</v>
      </c>
      <c r="J134" s="556">
        <f t="shared" si="7"/>
        <v>0</v>
      </c>
      <c r="K134" s="556"/>
      <c r="L134" s="576"/>
      <c r="M134" s="556">
        <f t="shared" si="1"/>
        <v>0</v>
      </c>
      <c r="N134" s="576"/>
      <c r="O134" s="556">
        <f t="shared" si="2"/>
        <v>0</v>
      </c>
      <c r="P134" s="556">
        <f t="shared" si="3"/>
        <v>0</v>
      </c>
    </row>
    <row r="135" spans="3:16">
      <c r="C135" s="552">
        <f>IF(D94="","-",+C134+1)</f>
        <v>2051</v>
      </c>
      <c r="D135" s="510">
        <f t="shared" si="4"/>
        <v>7515934.4734883746</v>
      </c>
      <c r="E135" s="553">
        <f t="shared" si="6"/>
        <v>884227.58511627896</v>
      </c>
      <c r="F135" s="553">
        <f t="shared" si="0"/>
        <v>6631706.8883720953</v>
      </c>
      <c r="G135" s="510">
        <f t="shared" si="5"/>
        <v>7073820.6809302345</v>
      </c>
      <c r="H135" s="558">
        <f>+J95*G135+E135</f>
        <v>1841824.2132414863</v>
      </c>
      <c r="I135" s="559">
        <f>+J96*G135+E135</f>
        <v>1841824.2132414863</v>
      </c>
      <c r="J135" s="556">
        <f t="shared" si="7"/>
        <v>0</v>
      </c>
      <c r="K135" s="556"/>
      <c r="L135" s="576"/>
      <c r="M135" s="556">
        <f t="shared" si="1"/>
        <v>0</v>
      </c>
      <c r="N135" s="576"/>
      <c r="O135" s="556">
        <f t="shared" si="2"/>
        <v>0</v>
      </c>
      <c r="P135" s="556">
        <f t="shared" si="3"/>
        <v>0</v>
      </c>
    </row>
    <row r="136" spans="3:16">
      <c r="C136" s="552">
        <f>IF(D94="","-",+C135+1)</f>
        <v>2052</v>
      </c>
      <c r="D136" s="510">
        <f t="shared" si="4"/>
        <v>6631706.8883720953</v>
      </c>
      <c r="E136" s="553">
        <f t="shared" si="6"/>
        <v>884227.58511627896</v>
      </c>
      <c r="F136" s="553">
        <f t="shared" si="0"/>
        <v>5747479.303255816</v>
      </c>
      <c r="G136" s="510">
        <f t="shared" si="5"/>
        <v>6189593.0958139561</v>
      </c>
      <c r="H136" s="558">
        <f>+J95*G136+E136</f>
        <v>1722124.6347258356</v>
      </c>
      <c r="I136" s="559">
        <f>+J96*G136+E136</f>
        <v>1722124.6347258356</v>
      </c>
      <c r="J136" s="556">
        <f t="shared" si="7"/>
        <v>0</v>
      </c>
      <c r="K136" s="556"/>
      <c r="L136" s="576"/>
      <c r="M136" s="556">
        <f t="shared" si="1"/>
        <v>0</v>
      </c>
      <c r="N136" s="576"/>
      <c r="O136" s="556">
        <f t="shared" si="2"/>
        <v>0</v>
      </c>
      <c r="P136" s="556">
        <f t="shared" si="3"/>
        <v>0</v>
      </c>
    </row>
    <row r="137" spans="3:16">
      <c r="C137" s="552">
        <f>IF(D94="","-",+C136+1)</f>
        <v>2053</v>
      </c>
      <c r="D137" s="510">
        <f t="shared" si="4"/>
        <v>5747479.303255816</v>
      </c>
      <c r="E137" s="553">
        <f t="shared" si="6"/>
        <v>884227.58511627896</v>
      </c>
      <c r="F137" s="553">
        <f t="shared" si="0"/>
        <v>4863251.7181395367</v>
      </c>
      <c r="G137" s="510">
        <f t="shared" si="5"/>
        <v>5305365.5106976759</v>
      </c>
      <c r="H137" s="558">
        <f>+J95*G137+E137</f>
        <v>1602425.0562101845</v>
      </c>
      <c r="I137" s="559">
        <f>+J96*G137+E137</f>
        <v>1602425.0562101845</v>
      </c>
      <c r="J137" s="556">
        <f t="shared" si="7"/>
        <v>0</v>
      </c>
      <c r="K137" s="556"/>
      <c r="L137" s="576"/>
      <c r="M137" s="556">
        <f t="shared" si="1"/>
        <v>0</v>
      </c>
      <c r="N137" s="576"/>
      <c r="O137" s="556">
        <f t="shared" si="2"/>
        <v>0</v>
      </c>
      <c r="P137" s="556">
        <f t="shared" si="3"/>
        <v>0</v>
      </c>
    </row>
    <row r="138" spans="3:16">
      <c r="C138" s="552">
        <f>IF(D94="","-",+C137+1)</f>
        <v>2054</v>
      </c>
      <c r="D138" s="510">
        <f t="shared" si="4"/>
        <v>4863251.7181395367</v>
      </c>
      <c r="E138" s="553">
        <f t="shared" si="6"/>
        <v>884227.58511627896</v>
      </c>
      <c r="F138" s="553">
        <f t="shared" si="0"/>
        <v>3979024.1330232578</v>
      </c>
      <c r="G138" s="510">
        <f t="shared" si="5"/>
        <v>4421137.9255813975</v>
      </c>
      <c r="H138" s="558">
        <f>+J95*G138+E138</f>
        <v>1482725.4776945338</v>
      </c>
      <c r="I138" s="559">
        <f>+J96*G138+E138</f>
        <v>1482725.4776945338</v>
      </c>
      <c r="J138" s="556">
        <f t="shared" si="7"/>
        <v>0</v>
      </c>
      <c r="K138" s="556"/>
      <c r="L138" s="576"/>
      <c r="M138" s="556">
        <f t="shared" si="1"/>
        <v>0</v>
      </c>
      <c r="N138" s="576"/>
      <c r="O138" s="556">
        <f t="shared" si="2"/>
        <v>0</v>
      </c>
      <c r="P138" s="556">
        <f t="shared" si="3"/>
        <v>0</v>
      </c>
    </row>
    <row r="139" spans="3:16">
      <c r="C139" s="552">
        <f>IF(D94="","-",+C138+1)</f>
        <v>2055</v>
      </c>
      <c r="D139" s="510">
        <f t="shared" si="4"/>
        <v>3979024.1330232578</v>
      </c>
      <c r="E139" s="553">
        <f t="shared" si="6"/>
        <v>884227.58511627896</v>
      </c>
      <c r="F139" s="553">
        <f t="shared" si="0"/>
        <v>3094796.547906979</v>
      </c>
      <c r="G139" s="510">
        <f t="shared" si="5"/>
        <v>3536910.3404651182</v>
      </c>
      <c r="H139" s="558">
        <f>+J95*G139+E139</f>
        <v>1363025.8991788826</v>
      </c>
      <c r="I139" s="559">
        <f>+J96*G139+E139</f>
        <v>1363025.8991788826</v>
      </c>
      <c r="J139" s="556">
        <f t="shared" si="7"/>
        <v>0</v>
      </c>
      <c r="K139" s="556"/>
      <c r="L139" s="576"/>
      <c r="M139" s="556">
        <f t="shared" si="1"/>
        <v>0</v>
      </c>
      <c r="N139" s="576"/>
      <c r="O139" s="556">
        <f t="shared" si="2"/>
        <v>0</v>
      </c>
      <c r="P139" s="556">
        <f t="shared" si="3"/>
        <v>0</v>
      </c>
    </row>
    <row r="140" spans="3:16">
      <c r="C140" s="552">
        <f>IF(D94="","-",+C139+1)</f>
        <v>2056</v>
      </c>
      <c r="D140" s="510">
        <f t="shared" si="4"/>
        <v>3094796.547906979</v>
      </c>
      <c r="E140" s="553">
        <f t="shared" si="6"/>
        <v>884227.58511627896</v>
      </c>
      <c r="F140" s="553">
        <f t="shared" si="0"/>
        <v>2210568.9627907001</v>
      </c>
      <c r="G140" s="510">
        <f t="shared" si="5"/>
        <v>2652682.7553488398</v>
      </c>
      <c r="H140" s="558">
        <f>+J95*G140+E140</f>
        <v>1243326.3206632319</v>
      </c>
      <c r="I140" s="559">
        <f>+J96*G140+E140</f>
        <v>1243326.3206632319</v>
      </c>
      <c r="J140" s="556">
        <f t="shared" si="7"/>
        <v>0</v>
      </c>
      <c r="K140" s="556"/>
      <c r="L140" s="576"/>
      <c r="M140" s="556">
        <f t="shared" si="1"/>
        <v>0</v>
      </c>
      <c r="N140" s="576"/>
      <c r="O140" s="556">
        <f t="shared" si="2"/>
        <v>0</v>
      </c>
      <c r="P140" s="556">
        <f t="shared" si="3"/>
        <v>0</v>
      </c>
    </row>
    <row r="141" spans="3:16">
      <c r="C141" s="552">
        <f>IF(D94="","-",+C140+1)</f>
        <v>2057</v>
      </c>
      <c r="D141" s="510">
        <f t="shared" si="4"/>
        <v>2210568.9627907001</v>
      </c>
      <c r="E141" s="553">
        <f t="shared" si="6"/>
        <v>884227.58511627896</v>
      </c>
      <c r="F141" s="553">
        <f t="shared" si="0"/>
        <v>1326341.3776744213</v>
      </c>
      <c r="G141" s="510">
        <f t="shared" si="5"/>
        <v>1768455.1702325607</v>
      </c>
      <c r="H141" s="558">
        <f>+J95*G141+E141</f>
        <v>1123626.7421475812</v>
      </c>
      <c r="I141" s="559">
        <f>+J96*G141+E141</f>
        <v>1123626.7421475812</v>
      </c>
      <c r="J141" s="556">
        <f t="shared" si="7"/>
        <v>0</v>
      </c>
      <c r="K141" s="556"/>
      <c r="L141" s="576"/>
      <c r="M141" s="556">
        <f t="shared" si="1"/>
        <v>0</v>
      </c>
      <c r="N141" s="576"/>
      <c r="O141" s="556">
        <f t="shared" si="2"/>
        <v>0</v>
      </c>
      <c r="P141" s="556">
        <f t="shared" si="3"/>
        <v>0</v>
      </c>
    </row>
    <row r="142" spans="3:16">
      <c r="C142" s="552">
        <f>IF(D94="","-",+C141+1)</f>
        <v>2058</v>
      </c>
      <c r="D142" s="510">
        <f t="shared" si="4"/>
        <v>1326341.3776744213</v>
      </c>
      <c r="E142" s="553">
        <f t="shared" si="6"/>
        <v>884227.58511627896</v>
      </c>
      <c r="F142" s="553">
        <f t="shared" si="0"/>
        <v>442113.79255814233</v>
      </c>
      <c r="G142" s="510">
        <f t="shared" si="5"/>
        <v>884227.58511628187</v>
      </c>
      <c r="H142" s="558">
        <f>+J95*G142+E142</f>
        <v>1003927.1636319302</v>
      </c>
      <c r="I142" s="559">
        <f>+J96*G142+E142</f>
        <v>1003927.1636319302</v>
      </c>
      <c r="J142" s="556">
        <f t="shared" si="7"/>
        <v>0</v>
      </c>
      <c r="K142" s="556"/>
      <c r="L142" s="576"/>
      <c r="M142" s="556">
        <f t="shared" si="1"/>
        <v>0</v>
      </c>
      <c r="N142" s="576"/>
      <c r="O142" s="556">
        <f t="shared" si="2"/>
        <v>0</v>
      </c>
      <c r="P142" s="556">
        <f t="shared" si="3"/>
        <v>0</v>
      </c>
    </row>
    <row r="143" spans="3:16">
      <c r="C143" s="552">
        <f>IF(D94="","-",+C142+1)</f>
        <v>2059</v>
      </c>
      <c r="D143" s="510">
        <f t="shared" si="4"/>
        <v>442113.79255814233</v>
      </c>
      <c r="E143" s="553">
        <f t="shared" si="6"/>
        <v>442113.79255814233</v>
      </c>
      <c r="F143" s="553">
        <f t="shared" si="0"/>
        <v>0</v>
      </c>
      <c r="G143" s="510">
        <f t="shared" si="5"/>
        <v>221056.89627907117</v>
      </c>
      <c r="H143" s="558">
        <f>+J95*G143+E143</f>
        <v>472038.68718705524</v>
      </c>
      <c r="I143" s="559">
        <f>+J96*G143+E143</f>
        <v>472038.68718705524</v>
      </c>
      <c r="J143" s="556">
        <f t="shared" si="7"/>
        <v>0</v>
      </c>
      <c r="K143" s="556"/>
      <c r="L143" s="576"/>
      <c r="M143" s="556">
        <f t="shared" si="1"/>
        <v>0</v>
      </c>
      <c r="N143" s="576"/>
      <c r="O143" s="556">
        <f t="shared" si="2"/>
        <v>0</v>
      </c>
      <c r="P143" s="556">
        <f t="shared" si="3"/>
        <v>0</v>
      </c>
    </row>
    <row r="144" spans="3:16">
      <c r="C144" s="552">
        <f>IF(D94="","-",+C143+1)</f>
        <v>2060</v>
      </c>
      <c r="D144" s="510">
        <f t="shared" si="4"/>
        <v>0</v>
      </c>
      <c r="E144" s="553">
        <f t="shared" si="6"/>
        <v>0</v>
      </c>
      <c r="F144" s="553">
        <f t="shared" si="0"/>
        <v>0</v>
      </c>
      <c r="G144" s="510">
        <f t="shared" si="5"/>
        <v>0</v>
      </c>
      <c r="H144" s="558">
        <f>+J95*G144+E144</f>
        <v>0</v>
      </c>
      <c r="I144" s="559">
        <f>+J96*G144+E144</f>
        <v>0</v>
      </c>
      <c r="J144" s="556">
        <f t="shared" si="7"/>
        <v>0</v>
      </c>
      <c r="K144" s="556"/>
      <c r="L144" s="576"/>
      <c r="M144" s="556">
        <f t="shared" si="1"/>
        <v>0</v>
      </c>
      <c r="N144" s="576"/>
      <c r="O144" s="556">
        <f t="shared" si="2"/>
        <v>0</v>
      </c>
      <c r="P144" s="556">
        <f t="shared" si="3"/>
        <v>0</v>
      </c>
    </row>
    <row r="145" spans="3:16">
      <c r="C145" s="552">
        <f>IF(D94="","-",+C144+1)</f>
        <v>2061</v>
      </c>
      <c r="D145" s="510">
        <f t="shared" si="4"/>
        <v>0</v>
      </c>
      <c r="E145" s="553">
        <f t="shared" si="6"/>
        <v>0</v>
      </c>
      <c r="F145" s="553">
        <f t="shared" si="0"/>
        <v>0</v>
      </c>
      <c r="G145" s="510">
        <f t="shared" si="5"/>
        <v>0</v>
      </c>
      <c r="H145" s="558">
        <f>+J95*G145+E145</f>
        <v>0</v>
      </c>
      <c r="I145" s="559">
        <f>+J96*G145+E145</f>
        <v>0</v>
      </c>
      <c r="J145" s="556">
        <f t="shared" si="7"/>
        <v>0</v>
      </c>
      <c r="K145" s="556"/>
      <c r="L145" s="576"/>
      <c r="M145" s="556">
        <f t="shared" si="1"/>
        <v>0</v>
      </c>
      <c r="N145" s="576"/>
      <c r="O145" s="556">
        <f t="shared" si="2"/>
        <v>0</v>
      </c>
      <c r="P145" s="556">
        <f t="shared" si="3"/>
        <v>0</v>
      </c>
    </row>
    <row r="146" spans="3:16">
      <c r="C146" s="552">
        <f>IF(D94="","-",+C145+1)</f>
        <v>2062</v>
      </c>
      <c r="D146" s="510">
        <f t="shared" si="4"/>
        <v>0</v>
      </c>
      <c r="E146" s="553">
        <f t="shared" si="6"/>
        <v>0</v>
      </c>
      <c r="F146" s="553">
        <f t="shared" si="0"/>
        <v>0</v>
      </c>
      <c r="G146" s="510">
        <f t="shared" si="5"/>
        <v>0</v>
      </c>
      <c r="H146" s="558">
        <f>+J95*G146+E146</f>
        <v>0</v>
      </c>
      <c r="I146" s="559">
        <f>+J96*G146+E146</f>
        <v>0</v>
      </c>
      <c r="J146" s="556">
        <f t="shared" si="7"/>
        <v>0</v>
      </c>
      <c r="K146" s="556"/>
      <c r="L146" s="576"/>
      <c r="M146" s="556">
        <f t="shared" si="1"/>
        <v>0</v>
      </c>
      <c r="N146" s="576"/>
      <c r="O146" s="556">
        <f t="shared" si="2"/>
        <v>0</v>
      </c>
      <c r="P146" s="556">
        <f t="shared" si="3"/>
        <v>0</v>
      </c>
    </row>
    <row r="147" spans="3:16">
      <c r="C147" s="552">
        <f>IF(D94="","-",+C146+1)</f>
        <v>2063</v>
      </c>
      <c r="D147" s="510">
        <f t="shared" si="4"/>
        <v>0</v>
      </c>
      <c r="E147" s="553">
        <f t="shared" si="6"/>
        <v>0</v>
      </c>
      <c r="F147" s="553">
        <f t="shared" si="0"/>
        <v>0</v>
      </c>
      <c r="G147" s="510">
        <f t="shared" si="5"/>
        <v>0</v>
      </c>
      <c r="H147" s="558">
        <f>+J95*G147+E147</f>
        <v>0</v>
      </c>
      <c r="I147" s="559">
        <f>+J96*G147+E147</f>
        <v>0</v>
      </c>
      <c r="J147" s="556">
        <f t="shared" si="7"/>
        <v>0</v>
      </c>
      <c r="K147" s="556"/>
      <c r="L147" s="576"/>
      <c r="M147" s="556">
        <f t="shared" si="1"/>
        <v>0</v>
      </c>
      <c r="N147" s="576"/>
      <c r="O147" s="556">
        <f t="shared" si="2"/>
        <v>0</v>
      </c>
      <c r="P147" s="556">
        <f t="shared" si="3"/>
        <v>0</v>
      </c>
    </row>
    <row r="148" spans="3:16">
      <c r="C148" s="552">
        <f>IF(D94="","-",+C147+1)</f>
        <v>2064</v>
      </c>
      <c r="D148" s="510">
        <f t="shared" si="4"/>
        <v>0</v>
      </c>
      <c r="E148" s="553">
        <f t="shared" si="6"/>
        <v>0</v>
      </c>
      <c r="F148" s="553">
        <f t="shared" si="0"/>
        <v>0</v>
      </c>
      <c r="G148" s="510">
        <f t="shared" si="5"/>
        <v>0</v>
      </c>
      <c r="H148" s="558">
        <f>+J95*G148+E148</f>
        <v>0</v>
      </c>
      <c r="I148" s="559">
        <f>+J96*G148+E148</f>
        <v>0</v>
      </c>
      <c r="J148" s="556">
        <f t="shared" si="7"/>
        <v>0</v>
      </c>
      <c r="K148" s="556"/>
      <c r="L148" s="576"/>
      <c r="M148" s="556">
        <f t="shared" si="1"/>
        <v>0</v>
      </c>
      <c r="N148" s="576"/>
      <c r="O148" s="556">
        <f t="shared" si="2"/>
        <v>0</v>
      </c>
      <c r="P148" s="556">
        <f t="shared" si="3"/>
        <v>0</v>
      </c>
    </row>
    <row r="149" spans="3:16">
      <c r="C149" s="552">
        <f>IF(D94="","-",+C148+1)</f>
        <v>2065</v>
      </c>
      <c r="D149" s="510">
        <f t="shared" si="4"/>
        <v>0</v>
      </c>
      <c r="E149" s="553">
        <f t="shared" si="6"/>
        <v>0</v>
      </c>
      <c r="F149" s="553">
        <f t="shared" si="0"/>
        <v>0</v>
      </c>
      <c r="G149" s="510">
        <f t="shared" si="5"/>
        <v>0</v>
      </c>
      <c r="H149" s="558">
        <f>+J95*G149+E149</f>
        <v>0</v>
      </c>
      <c r="I149" s="559">
        <f>+J96*G149+E149</f>
        <v>0</v>
      </c>
      <c r="J149" s="556">
        <f t="shared" si="7"/>
        <v>0</v>
      </c>
      <c r="K149" s="556"/>
      <c r="L149" s="576"/>
      <c r="M149" s="556">
        <f t="shared" si="1"/>
        <v>0</v>
      </c>
      <c r="N149" s="576"/>
      <c r="O149" s="556">
        <f t="shared" si="2"/>
        <v>0</v>
      </c>
      <c r="P149" s="556">
        <f t="shared" si="3"/>
        <v>0</v>
      </c>
    </row>
    <row r="150" spans="3:16">
      <c r="C150" s="552">
        <f>IF(D94="","-",+C149+1)</f>
        <v>2066</v>
      </c>
      <c r="D150" s="510">
        <f t="shared" si="4"/>
        <v>0</v>
      </c>
      <c r="E150" s="553">
        <f t="shared" si="6"/>
        <v>0</v>
      </c>
      <c r="F150" s="553">
        <f t="shared" si="0"/>
        <v>0</v>
      </c>
      <c r="G150" s="510">
        <f t="shared" si="5"/>
        <v>0</v>
      </c>
      <c r="H150" s="558">
        <f>+J95*G150+E150</f>
        <v>0</v>
      </c>
      <c r="I150" s="559">
        <f>+J96*G150+E150</f>
        <v>0</v>
      </c>
      <c r="J150" s="556">
        <f t="shared" si="7"/>
        <v>0</v>
      </c>
      <c r="K150" s="556"/>
      <c r="L150" s="576"/>
      <c r="M150" s="556">
        <f t="shared" si="1"/>
        <v>0</v>
      </c>
      <c r="N150" s="576"/>
      <c r="O150" s="556">
        <f t="shared" si="2"/>
        <v>0</v>
      </c>
      <c r="P150" s="556">
        <f t="shared" si="3"/>
        <v>0</v>
      </c>
    </row>
    <row r="151" spans="3:16">
      <c r="C151" s="552">
        <f>IF(D94="","-",+C150+1)</f>
        <v>2067</v>
      </c>
      <c r="D151" s="510">
        <f t="shared" si="4"/>
        <v>0</v>
      </c>
      <c r="E151" s="553">
        <f t="shared" si="6"/>
        <v>0</v>
      </c>
      <c r="F151" s="553">
        <f t="shared" si="0"/>
        <v>0</v>
      </c>
      <c r="G151" s="510">
        <f t="shared" si="5"/>
        <v>0</v>
      </c>
      <c r="H151" s="558">
        <f>+J95*G151+E151</f>
        <v>0</v>
      </c>
      <c r="I151" s="559">
        <f>+J96*G151+E151</f>
        <v>0</v>
      </c>
      <c r="J151" s="556">
        <f t="shared" si="7"/>
        <v>0</v>
      </c>
      <c r="K151" s="556"/>
      <c r="L151" s="576"/>
      <c r="M151" s="556">
        <f t="shared" si="1"/>
        <v>0</v>
      </c>
      <c r="N151" s="576"/>
      <c r="O151" s="556">
        <f t="shared" si="2"/>
        <v>0</v>
      </c>
      <c r="P151" s="556">
        <f t="shared" si="3"/>
        <v>0</v>
      </c>
    </row>
    <row r="152" spans="3:16">
      <c r="C152" s="552">
        <f>IF(D94="","-",+C151+1)</f>
        <v>2068</v>
      </c>
      <c r="D152" s="510">
        <f t="shared" si="4"/>
        <v>0</v>
      </c>
      <c r="E152" s="553">
        <f t="shared" si="6"/>
        <v>0</v>
      </c>
      <c r="F152" s="553">
        <f t="shared" si="0"/>
        <v>0</v>
      </c>
      <c r="G152" s="510">
        <f t="shared" si="5"/>
        <v>0</v>
      </c>
      <c r="H152" s="558">
        <f>+J95*G152+E152</f>
        <v>0</v>
      </c>
      <c r="I152" s="559">
        <f>+J96*G152+E152</f>
        <v>0</v>
      </c>
      <c r="J152" s="556">
        <f t="shared" si="7"/>
        <v>0</v>
      </c>
      <c r="K152" s="556"/>
      <c r="L152" s="576"/>
      <c r="M152" s="556">
        <f t="shared" si="1"/>
        <v>0</v>
      </c>
      <c r="N152" s="576"/>
      <c r="O152" s="556">
        <f t="shared" si="2"/>
        <v>0</v>
      </c>
      <c r="P152" s="556">
        <f t="shared" si="3"/>
        <v>0</v>
      </c>
    </row>
    <row r="153" spans="3:16">
      <c r="C153" s="552">
        <f>IF(D94="","-",+C152+1)</f>
        <v>2069</v>
      </c>
      <c r="D153" s="510">
        <f t="shared" si="4"/>
        <v>0</v>
      </c>
      <c r="E153" s="553">
        <f t="shared" si="6"/>
        <v>0</v>
      </c>
      <c r="F153" s="553">
        <f t="shared" si="0"/>
        <v>0</v>
      </c>
      <c r="G153" s="510">
        <f t="shared" si="5"/>
        <v>0</v>
      </c>
      <c r="H153" s="558">
        <f>+J95*G153+E153</f>
        <v>0</v>
      </c>
      <c r="I153" s="559">
        <f>+J96*G153+E153</f>
        <v>0</v>
      </c>
      <c r="J153" s="556">
        <f t="shared" si="7"/>
        <v>0</v>
      </c>
      <c r="K153" s="556"/>
      <c r="L153" s="576"/>
      <c r="M153" s="556">
        <f t="shared" si="1"/>
        <v>0</v>
      </c>
      <c r="N153" s="576"/>
      <c r="O153" s="556">
        <f t="shared" si="2"/>
        <v>0</v>
      </c>
      <c r="P153" s="556">
        <f t="shared" si="3"/>
        <v>0</v>
      </c>
    </row>
    <row r="154" spans="3:16">
      <c r="C154" s="552">
        <f>IF(D94="","-",+C153+1)</f>
        <v>2070</v>
      </c>
      <c r="D154" s="510">
        <f>F153</f>
        <v>0</v>
      </c>
      <c r="E154" s="553">
        <f t="shared" si="6"/>
        <v>0</v>
      </c>
      <c r="F154" s="553">
        <f t="shared" si="0"/>
        <v>0</v>
      </c>
      <c r="G154" s="510">
        <f t="shared" si="5"/>
        <v>0</v>
      </c>
      <c r="H154" s="558">
        <f>+J95*G154+E154</f>
        <v>0</v>
      </c>
      <c r="I154" s="559">
        <f>+J96*G154+E154</f>
        <v>0</v>
      </c>
      <c r="J154" s="556">
        <f t="shared" si="7"/>
        <v>0</v>
      </c>
      <c r="K154" s="556"/>
      <c r="L154" s="576"/>
      <c r="M154" s="556">
        <f t="shared" si="1"/>
        <v>0</v>
      </c>
      <c r="N154" s="576"/>
      <c r="O154" s="556">
        <f t="shared" si="2"/>
        <v>0</v>
      </c>
      <c r="P154" s="556">
        <f t="shared" si="3"/>
        <v>0</v>
      </c>
    </row>
    <row r="155" spans="3:16">
      <c r="C155" s="552">
        <f>IF(D94="","-",+C154+1)</f>
        <v>2071</v>
      </c>
      <c r="D155" s="510">
        <f t="shared" si="4"/>
        <v>0</v>
      </c>
      <c r="E155" s="553">
        <f t="shared" si="6"/>
        <v>0</v>
      </c>
      <c r="F155" s="553">
        <f t="shared" si="0"/>
        <v>0</v>
      </c>
      <c r="G155" s="510">
        <f t="shared" si="5"/>
        <v>0</v>
      </c>
      <c r="H155" s="558">
        <f>+J95*G155+E155</f>
        <v>0</v>
      </c>
      <c r="I155" s="559">
        <f>+J96*G155+E155</f>
        <v>0</v>
      </c>
      <c r="J155" s="556">
        <f t="shared" si="7"/>
        <v>0</v>
      </c>
      <c r="K155" s="556"/>
      <c r="L155" s="576"/>
      <c r="M155" s="556">
        <f t="shared" si="1"/>
        <v>0</v>
      </c>
      <c r="N155" s="576"/>
      <c r="O155" s="556">
        <f t="shared" si="2"/>
        <v>0</v>
      </c>
      <c r="P155" s="556">
        <f t="shared" si="3"/>
        <v>0</v>
      </c>
    </row>
    <row r="156" spans="3:16">
      <c r="C156" s="552">
        <f>IF(D94="","-",+C155+1)</f>
        <v>2072</v>
      </c>
      <c r="D156" s="510">
        <f t="shared" si="4"/>
        <v>0</v>
      </c>
      <c r="E156" s="553">
        <f t="shared" si="6"/>
        <v>0</v>
      </c>
      <c r="F156" s="553">
        <f t="shared" si="0"/>
        <v>0</v>
      </c>
      <c r="G156" s="510">
        <f t="shared" si="5"/>
        <v>0</v>
      </c>
      <c r="H156" s="558">
        <f>+J95*G156+E156</f>
        <v>0</v>
      </c>
      <c r="I156" s="559">
        <f>+J96*G156+E156</f>
        <v>0</v>
      </c>
      <c r="J156" s="556">
        <f t="shared" si="7"/>
        <v>0</v>
      </c>
      <c r="K156" s="556"/>
      <c r="L156" s="576"/>
      <c r="M156" s="556">
        <f t="shared" si="1"/>
        <v>0</v>
      </c>
      <c r="N156" s="576"/>
      <c r="O156" s="556">
        <f t="shared" si="2"/>
        <v>0</v>
      </c>
      <c r="P156" s="556">
        <f t="shared" si="3"/>
        <v>0</v>
      </c>
    </row>
    <row r="157" spans="3:16">
      <c r="C157" s="552">
        <f>IF(D94="","-",+C156+1)</f>
        <v>2073</v>
      </c>
      <c r="D157" s="510">
        <f t="shared" si="4"/>
        <v>0</v>
      </c>
      <c r="E157" s="553">
        <f t="shared" si="6"/>
        <v>0</v>
      </c>
      <c r="F157" s="553">
        <f t="shared" si="0"/>
        <v>0</v>
      </c>
      <c r="G157" s="510">
        <f t="shared" si="5"/>
        <v>0</v>
      </c>
      <c r="H157" s="558">
        <f>+J95*G157+E157</f>
        <v>0</v>
      </c>
      <c r="I157" s="559">
        <f>+J96*G157+E157</f>
        <v>0</v>
      </c>
      <c r="J157" s="556">
        <f t="shared" si="7"/>
        <v>0</v>
      </c>
      <c r="K157" s="556"/>
      <c r="L157" s="576"/>
      <c r="M157" s="556">
        <f t="shared" si="1"/>
        <v>0</v>
      </c>
      <c r="N157" s="576"/>
      <c r="O157" s="556">
        <f t="shared" si="2"/>
        <v>0</v>
      </c>
      <c r="P157" s="556">
        <f t="shared" si="3"/>
        <v>0</v>
      </c>
    </row>
    <row r="158" spans="3:16">
      <c r="C158" s="552">
        <f>IF(D94="","-",+C157+1)</f>
        <v>2074</v>
      </c>
      <c r="D158" s="510">
        <f t="shared" si="4"/>
        <v>0</v>
      </c>
      <c r="E158" s="553">
        <f t="shared" si="6"/>
        <v>0</v>
      </c>
      <c r="F158" s="553">
        <f t="shared" si="0"/>
        <v>0</v>
      </c>
      <c r="G158" s="510">
        <f t="shared" si="5"/>
        <v>0</v>
      </c>
      <c r="H158" s="558">
        <f>+J95*G158+E158</f>
        <v>0</v>
      </c>
      <c r="I158" s="559">
        <f>+J96*G158+E158</f>
        <v>0</v>
      </c>
      <c r="J158" s="556">
        <f t="shared" si="7"/>
        <v>0</v>
      </c>
      <c r="K158" s="556"/>
      <c r="L158" s="576"/>
      <c r="M158" s="556">
        <f t="shared" si="1"/>
        <v>0</v>
      </c>
      <c r="N158" s="576"/>
      <c r="O158" s="556">
        <f t="shared" si="2"/>
        <v>0</v>
      </c>
      <c r="P158" s="556">
        <f t="shared" si="3"/>
        <v>0</v>
      </c>
    </row>
    <row r="159" spans="3:16" ht="13.5" thickBot="1">
      <c r="C159" s="562">
        <f>IF(D94="","-",+C158+1)</f>
        <v>2075</v>
      </c>
      <c r="D159" s="563">
        <f t="shared" si="4"/>
        <v>0</v>
      </c>
      <c r="E159" s="564">
        <f t="shared" si="6"/>
        <v>0</v>
      </c>
      <c r="F159" s="564">
        <f t="shared" si="0"/>
        <v>0</v>
      </c>
      <c r="G159" s="563">
        <f t="shared" si="5"/>
        <v>0</v>
      </c>
      <c r="H159" s="565">
        <f>+J95*G159+E159</f>
        <v>0</v>
      </c>
      <c r="I159" s="565">
        <f>+J96*G159+E159</f>
        <v>0</v>
      </c>
      <c r="J159" s="566">
        <f t="shared" si="7"/>
        <v>0</v>
      </c>
      <c r="K159" s="556"/>
      <c r="L159" s="577"/>
      <c r="M159" s="566">
        <f t="shared" si="1"/>
        <v>0</v>
      </c>
      <c r="N159" s="577"/>
      <c r="O159" s="566">
        <f t="shared" si="2"/>
        <v>0</v>
      </c>
      <c r="P159" s="566">
        <f t="shared" si="3"/>
        <v>0</v>
      </c>
    </row>
    <row r="160" spans="3:16">
      <c r="C160" s="510" t="s">
        <v>91</v>
      </c>
      <c r="D160" s="507"/>
      <c r="E160" s="507">
        <f>SUM(E100:E159)</f>
        <v>38021786.159999996</v>
      </c>
      <c r="F160" s="507"/>
      <c r="G160" s="507"/>
      <c r="H160" s="507">
        <f>SUM(H100:H159)</f>
        <v>151257587.43580571</v>
      </c>
      <c r="I160" s="507">
        <f>SUM(I100:I159)</f>
        <v>151257587.43580571</v>
      </c>
      <c r="J160" s="507">
        <f>SUM(J100:J159)</f>
        <v>0</v>
      </c>
      <c r="K160" s="507"/>
      <c r="L160" s="507"/>
      <c r="M160" s="507"/>
      <c r="N160" s="507"/>
      <c r="O160" s="507"/>
    </row>
    <row r="161" spans="3:15">
      <c r="D161" s="47"/>
      <c r="E161" s="3"/>
      <c r="F161" s="3"/>
      <c r="G161" s="3"/>
      <c r="H161" s="3"/>
      <c r="I161" s="494"/>
      <c r="J161" s="494"/>
      <c r="K161" s="507"/>
      <c r="L161" s="494"/>
      <c r="M161" s="494"/>
      <c r="N161" s="494"/>
      <c r="O161" s="494"/>
    </row>
    <row r="162" spans="3:15">
      <c r="C162" s="3" t="s">
        <v>13</v>
      </c>
      <c r="D162" s="47"/>
      <c r="E162" s="3"/>
      <c r="F162" s="3"/>
      <c r="G162" s="3"/>
      <c r="H162" s="3"/>
      <c r="I162" s="494"/>
      <c r="J162" s="494"/>
      <c r="K162" s="507"/>
      <c r="L162" s="494"/>
      <c r="M162" s="494"/>
      <c r="N162" s="494"/>
      <c r="O162" s="494"/>
    </row>
    <row r="163" spans="3:15">
      <c r="C163" s="3"/>
      <c r="D163" s="47"/>
      <c r="E163" s="3"/>
      <c r="F163" s="3"/>
      <c r="G163" s="3"/>
      <c r="H163" s="3"/>
      <c r="I163" s="494"/>
      <c r="J163" s="494"/>
      <c r="K163" s="507"/>
      <c r="L163" s="494"/>
      <c r="M163" s="494"/>
      <c r="N163" s="494"/>
      <c r="O163" s="494"/>
    </row>
    <row r="164" spans="3:15">
      <c r="C164" s="522" t="s">
        <v>14</v>
      </c>
      <c r="D164" s="510"/>
      <c r="E164" s="510"/>
      <c r="F164" s="510"/>
      <c r="G164" s="510"/>
      <c r="H164" s="507"/>
      <c r="I164" s="507"/>
      <c r="J164" s="568"/>
      <c r="K164" s="568"/>
      <c r="L164" s="568"/>
      <c r="M164" s="568"/>
      <c r="N164" s="568"/>
      <c r="O164" s="568"/>
    </row>
    <row r="165" spans="3:15">
      <c r="C165" s="511" t="s">
        <v>271</v>
      </c>
      <c r="D165" s="510"/>
      <c r="E165" s="510"/>
      <c r="F165" s="510"/>
      <c r="G165" s="510"/>
      <c r="H165" s="507"/>
      <c r="I165" s="507"/>
      <c r="J165" s="568"/>
      <c r="K165" s="568"/>
      <c r="L165" s="568"/>
      <c r="M165" s="568"/>
      <c r="N165" s="568"/>
      <c r="O165" s="568"/>
    </row>
    <row r="166" spans="3:15">
      <c r="C166" s="511" t="s">
        <v>92</v>
      </c>
      <c r="D166" s="510"/>
      <c r="E166" s="510"/>
      <c r="F166" s="510"/>
      <c r="G166" s="510"/>
      <c r="H166" s="507"/>
      <c r="I166" s="507"/>
      <c r="J166" s="568"/>
      <c r="K166" s="568"/>
      <c r="L166" s="568"/>
      <c r="M166" s="568"/>
      <c r="N166" s="568"/>
      <c r="O166" s="568"/>
    </row>
  </sheetData>
  <mergeCells count="11">
    <mergeCell ref="L93:O93"/>
    <mergeCell ref="D89:I89"/>
    <mergeCell ref="C51:D52"/>
    <mergeCell ref="C60:D61"/>
    <mergeCell ref="C71:D72"/>
    <mergeCell ref="J77:P80"/>
    <mergeCell ref="A3:P3"/>
    <mergeCell ref="C11:I12"/>
    <mergeCell ref="A4:P4"/>
    <mergeCell ref="A5:P5"/>
    <mergeCell ref="A6:P6"/>
  </mergeCells>
  <phoneticPr fontId="0" type="noConversion"/>
  <conditionalFormatting sqref="C100:C159">
    <cfRule type="cellIs" dxfId="3" priority="11" stopIfTrue="1" operator="equal">
      <formula>$J$92</formula>
    </cfRule>
  </conditionalFormatting>
  <pageMargins left="0.26" right="1.28" top="0.72" bottom="0.72" header="0.75" footer="0.5"/>
  <pageSetup scale="41" fitToHeight="2" orientation="landscape" r:id="rId1"/>
  <headerFooter alignWithMargins="0">
    <oddHeader>&amp;R&amp;"Arial,Bold"Formula Rate 
&amp;A
Page &amp;P of &amp;N</oddHeader>
  </headerFooter>
  <rowBreaks count="1" manualBreakCount="1">
    <brk id="80" max="1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E10"/>
  <sheetViews>
    <sheetView tabSelected="1" zoomScaleNormal="75" workbookViewId="0">
      <selection activeCell="B7" sqref="B7"/>
    </sheetView>
  </sheetViews>
  <sheetFormatPr defaultRowHeight="12.75"/>
  <cols>
    <col min="1" max="1" width="9.140625" style="7"/>
    <col min="2" max="2" width="40.140625" style="8" customWidth="1"/>
    <col min="3" max="3" width="31.5703125" style="5" customWidth="1"/>
    <col min="4" max="4" width="14.85546875" style="5" customWidth="1"/>
    <col min="5" max="5" width="18" style="5" customWidth="1"/>
    <col min="6" max="16384" width="9.140625" style="5"/>
  </cols>
  <sheetData>
    <row r="1" spans="1:5" ht="15.75">
      <c r="A1" s="744" t="s">
        <v>416</v>
      </c>
    </row>
    <row r="2" spans="1:5" ht="15.75">
      <c r="A2" s="744" t="s">
        <v>416</v>
      </c>
    </row>
    <row r="3" spans="1:5" ht="15">
      <c r="B3" s="1146" t="str">
        <f>TCOS!$F$5</f>
        <v>AEPTCo subsidiaries in PJM</v>
      </c>
      <c r="C3" s="1146" t="str">
        <f>TCOS!$F$5</f>
        <v>AEPTCo subsidiaries in PJM</v>
      </c>
      <c r="D3" s="1146" t="str">
        <f>TCOS!$F$5</f>
        <v>AEPTCo subsidiaries in PJM</v>
      </c>
      <c r="E3" s="1146" t="str">
        <f>TCOS!$F$5</f>
        <v>AEPTCo subsidiaries in PJM</v>
      </c>
    </row>
    <row r="4" spans="1:5" ht="15">
      <c r="B4" s="1147" t="str">
        <f>"Cost of Service Formula Rate Using Actual/Projected FF1 Balances"</f>
        <v>Cost of Service Formula Rate Using Actual/Projected FF1 Balances</v>
      </c>
      <c r="C4" s="1147"/>
      <c r="D4" s="1147"/>
      <c r="E4" s="1147"/>
    </row>
    <row r="5" spans="1:5" ht="15">
      <c r="B5" s="1146" t="s">
        <v>599</v>
      </c>
      <c r="C5" s="1146"/>
      <c r="D5" s="1146"/>
      <c r="E5" s="1146"/>
    </row>
    <row r="6" spans="1:5" ht="15">
      <c r="B6" s="1154" t="str">
        <f>+TCOS!F9</f>
        <v>AEP Kentucky Transmission Company</v>
      </c>
      <c r="C6" s="1146"/>
      <c r="D6" s="1146"/>
      <c r="E6" s="1146"/>
    </row>
    <row r="8" spans="1:5" ht="18.75" customHeight="1">
      <c r="B8" s="6" t="s">
        <v>416</v>
      </c>
      <c r="C8" s="63"/>
      <c r="D8" s="76"/>
    </row>
    <row r="9" spans="1:5">
      <c r="B9" s="75"/>
      <c r="C9" s="63"/>
      <c r="D9" s="76"/>
    </row>
    <row r="10" spans="1:5">
      <c r="B10" s="8" t="s">
        <v>563</v>
      </c>
    </row>
  </sheetData>
  <mergeCells count="4">
    <mergeCell ref="B6:E6"/>
    <mergeCell ref="B3:E3"/>
    <mergeCell ref="B4:E4"/>
    <mergeCell ref="B5:E5"/>
  </mergeCells>
  <phoneticPr fontId="0" type="noConversion"/>
  <pageMargins left="0.61" right="1" top="1.22" bottom="1" header="0.87" footer="0.5"/>
  <pageSetup scale="73" orientation="portrait" r:id="rId1"/>
  <headerFooter alignWithMargins="0">
    <oddHeader>&amp;R&amp;"Arial,Bold"Formula Rate 
&amp;A
Page &amp;P of &amp;N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L76"/>
  <sheetViews>
    <sheetView tabSelected="1" topLeftCell="A3" zoomScale="90" zoomScaleNormal="90" zoomScaleSheetLayoutView="70" workbookViewId="0">
      <selection activeCell="B7" sqref="B7"/>
    </sheetView>
  </sheetViews>
  <sheetFormatPr defaultColWidth="11.42578125" defaultRowHeight="12.75"/>
  <cols>
    <col min="1" max="1" width="10.28515625" style="862" customWidth="1"/>
    <col min="2" max="2" width="52.28515625" style="836" customWidth="1"/>
    <col min="3" max="7" width="20.28515625" style="836" customWidth="1"/>
    <col min="8" max="8" width="23" style="836" customWidth="1"/>
    <col min="9" max="11" width="20.28515625" style="836" customWidth="1"/>
    <col min="12" max="12" width="20" style="836" customWidth="1"/>
    <col min="13" max="14" width="15.140625" style="836" customWidth="1"/>
    <col min="15" max="16384" width="11.42578125" style="836"/>
  </cols>
  <sheetData>
    <row r="1" spans="1:12" ht="15">
      <c r="A1" s="1207" t="str">
        <f>TCOS!F5</f>
        <v>AEPTCo subsidiaries in PJM</v>
      </c>
      <c r="B1" s="1207" t="s">
        <v>329</v>
      </c>
      <c r="C1" s="1207" t="s">
        <v>329</v>
      </c>
      <c r="D1" s="1207" t="s">
        <v>329</v>
      </c>
      <c r="E1" s="1207" t="s">
        <v>329</v>
      </c>
      <c r="F1" s="1207" t="s">
        <v>329</v>
      </c>
      <c r="G1" s="1207" t="s">
        <v>329</v>
      </c>
      <c r="H1" s="755"/>
    </row>
    <row r="2" spans="1:12" ht="15">
      <c r="A2" s="1147" t="str">
        <f>"Cost of Service Formula Rate Using Actual/Projected FF1 Balances"</f>
        <v>Cost of Service Formula Rate Using Actual/Projected FF1 Balances</v>
      </c>
      <c r="B2" s="1147"/>
      <c r="C2" s="1147"/>
      <c r="D2" s="1147"/>
      <c r="E2" s="1147"/>
      <c r="F2" s="1147"/>
      <c r="G2" s="1147"/>
      <c r="H2" s="837"/>
      <c r="I2" s="837"/>
      <c r="J2" s="837"/>
      <c r="L2" s="838"/>
    </row>
    <row r="3" spans="1:12" ht="15">
      <c r="A3" s="1147" t="s">
        <v>734</v>
      </c>
      <c r="B3" s="1147"/>
      <c r="C3" s="1147"/>
      <c r="D3" s="1147"/>
      <c r="E3" s="1147"/>
      <c r="F3" s="1147"/>
      <c r="G3" s="1147"/>
      <c r="H3" s="837"/>
      <c r="I3" s="837"/>
      <c r="J3" s="837"/>
    </row>
    <row r="4" spans="1:12" ht="15">
      <c r="A4" s="1148" t="str">
        <f>TCOS!F9</f>
        <v>AEP Kentucky Transmission Company</v>
      </c>
      <c r="B4" s="1148"/>
      <c r="C4" s="1148"/>
      <c r="D4" s="1148"/>
      <c r="E4" s="1148"/>
      <c r="F4" s="1148"/>
      <c r="G4" s="1148"/>
      <c r="H4" s="837"/>
      <c r="I4" s="837"/>
      <c r="J4" s="837"/>
    </row>
    <row r="5" spans="1:12">
      <c r="A5" s="837"/>
      <c r="B5" s="839"/>
      <c r="C5" s="839"/>
      <c r="D5" s="839"/>
      <c r="E5" s="840"/>
      <c r="F5" s="841"/>
      <c r="H5" s="754"/>
      <c r="I5" s="754"/>
      <c r="J5" s="754"/>
      <c r="K5" s="754"/>
      <c r="L5" s="754"/>
    </row>
    <row r="6" spans="1:12" ht="12.75" customHeight="1">
      <c r="A6" s="755"/>
      <c r="B6" s="788"/>
      <c r="C6" s="1149" t="s">
        <v>339</v>
      </c>
      <c r="D6" s="1150"/>
      <c r="E6" s="1150"/>
      <c r="F6" s="1150"/>
      <c r="G6" s="1151"/>
      <c r="H6" s="754"/>
      <c r="I6" s="754"/>
      <c r="J6" s="754"/>
      <c r="K6" s="754"/>
      <c r="L6" s="754"/>
    </row>
    <row r="7" spans="1:12" s="844" customFormat="1" ht="38.25">
      <c r="A7" s="842" t="s">
        <v>702</v>
      </c>
      <c r="B7" s="793" t="s">
        <v>703</v>
      </c>
      <c r="C7" s="815" t="s">
        <v>735</v>
      </c>
      <c r="D7" s="794" t="s">
        <v>171</v>
      </c>
      <c r="E7" s="794" t="s">
        <v>736</v>
      </c>
      <c r="F7" s="794" t="s">
        <v>737</v>
      </c>
      <c r="G7" s="843" t="s">
        <v>339</v>
      </c>
      <c r="H7" s="754"/>
      <c r="I7" s="754"/>
      <c r="J7" s="754"/>
      <c r="K7" s="754"/>
      <c r="L7" s="754"/>
    </row>
    <row r="8" spans="1:12" s="847" customFormat="1">
      <c r="A8" s="845"/>
      <c r="B8" s="796" t="s">
        <v>707</v>
      </c>
      <c r="C8" s="816" t="s">
        <v>725</v>
      </c>
      <c r="D8" s="790" t="s">
        <v>726</v>
      </c>
      <c r="E8" s="790" t="s">
        <v>708</v>
      </c>
      <c r="F8" s="790" t="s">
        <v>709</v>
      </c>
      <c r="G8" s="846" t="s">
        <v>738</v>
      </c>
      <c r="H8" s="754"/>
      <c r="I8" s="754"/>
      <c r="J8" s="754"/>
      <c r="K8" s="754"/>
      <c r="L8" s="754"/>
    </row>
    <row r="9" spans="1:12" s="847" customFormat="1" ht="44.25" customHeight="1">
      <c r="A9" s="845"/>
      <c r="B9" s="796" t="s">
        <v>713</v>
      </c>
      <c r="C9" s="848" t="s">
        <v>739</v>
      </c>
      <c r="D9" s="798" t="s">
        <v>740</v>
      </c>
      <c r="E9" s="798" t="s">
        <v>741</v>
      </c>
      <c r="F9" s="798" t="s">
        <v>742</v>
      </c>
      <c r="G9" s="849"/>
      <c r="H9" s="754"/>
      <c r="I9" s="754"/>
      <c r="J9" s="754"/>
      <c r="K9" s="754"/>
      <c r="L9" s="754"/>
    </row>
    <row r="10" spans="1:12">
      <c r="A10" s="845">
        <v>1</v>
      </c>
      <c r="B10" s="799" t="s">
        <v>714</v>
      </c>
      <c r="C10" s="850">
        <v>80492795.486999974</v>
      </c>
      <c r="D10" s="850">
        <v>0</v>
      </c>
      <c r="E10" s="850">
        <v>0</v>
      </c>
      <c r="F10" s="850">
        <v>0</v>
      </c>
      <c r="G10" s="851">
        <f>+C10-D10-E10-F10</f>
        <v>80492795.486999974</v>
      </c>
      <c r="H10" s="754"/>
      <c r="I10" s="754"/>
      <c r="J10" s="754"/>
      <c r="K10" s="754"/>
      <c r="L10" s="754"/>
    </row>
    <row r="11" spans="1:12">
      <c r="A11" s="845">
        <f>+A10+1</f>
        <v>2</v>
      </c>
      <c r="B11" s="799" t="s">
        <v>576</v>
      </c>
      <c r="C11" s="850">
        <v>81159613.303000003</v>
      </c>
      <c r="D11" s="850">
        <v>0</v>
      </c>
      <c r="E11" s="850">
        <v>0</v>
      </c>
      <c r="F11" s="850">
        <v>0</v>
      </c>
      <c r="G11" s="851">
        <f t="shared" ref="G11:G22" si="0">+C11-D11-E11-F11</f>
        <v>81159613.303000003</v>
      </c>
      <c r="H11" s="754"/>
      <c r="I11" s="754"/>
      <c r="J11" s="754"/>
      <c r="K11" s="754"/>
      <c r="L11" s="754"/>
    </row>
    <row r="12" spans="1:12">
      <c r="A12" s="845">
        <f t="shared" ref="A12:A23" si="1">+A11+1</f>
        <v>3</v>
      </c>
      <c r="B12" s="800" t="s">
        <v>577</v>
      </c>
      <c r="C12" s="850">
        <v>81736502.713000029</v>
      </c>
      <c r="D12" s="850">
        <v>0</v>
      </c>
      <c r="E12" s="850">
        <v>0</v>
      </c>
      <c r="F12" s="850">
        <v>0</v>
      </c>
      <c r="G12" s="851">
        <f t="shared" si="0"/>
        <v>81736502.713000029</v>
      </c>
      <c r="H12" s="754"/>
      <c r="I12" s="754"/>
      <c r="J12" s="754"/>
      <c r="K12" s="754"/>
      <c r="L12" s="754"/>
    </row>
    <row r="13" spans="1:12">
      <c r="A13" s="845">
        <f t="shared" si="1"/>
        <v>4</v>
      </c>
      <c r="B13" s="800" t="s">
        <v>715</v>
      </c>
      <c r="C13" s="850">
        <v>82397220.833000004</v>
      </c>
      <c r="D13" s="850">
        <v>0</v>
      </c>
      <c r="E13" s="850">
        <v>0</v>
      </c>
      <c r="F13" s="850">
        <v>0</v>
      </c>
      <c r="G13" s="851">
        <f t="shared" si="0"/>
        <v>82397220.833000004</v>
      </c>
      <c r="H13" s="754"/>
      <c r="I13" s="754"/>
      <c r="J13" s="754"/>
      <c r="K13" s="754"/>
      <c r="L13" s="754"/>
    </row>
    <row r="14" spans="1:12">
      <c r="A14" s="845">
        <f t="shared" si="1"/>
        <v>5</v>
      </c>
      <c r="B14" s="800" t="s">
        <v>579</v>
      </c>
      <c r="C14" s="850">
        <v>83056017.363000005</v>
      </c>
      <c r="D14" s="850">
        <v>0</v>
      </c>
      <c r="E14" s="850">
        <v>0</v>
      </c>
      <c r="F14" s="850">
        <v>0</v>
      </c>
      <c r="G14" s="851">
        <f t="shared" si="0"/>
        <v>83056017.363000005</v>
      </c>
      <c r="H14" s="754"/>
      <c r="I14" s="754"/>
      <c r="J14" s="754"/>
      <c r="K14" s="754"/>
      <c r="L14" s="754"/>
    </row>
    <row r="15" spans="1:12">
      <c r="A15" s="845">
        <f t="shared" si="1"/>
        <v>6</v>
      </c>
      <c r="B15" s="800" t="s">
        <v>580</v>
      </c>
      <c r="C15" s="850">
        <v>83714083.19600001</v>
      </c>
      <c r="D15" s="850">
        <v>0</v>
      </c>
      <c r="E15" s="850">
        <v>0</v>
      </c>
      <c r="F15" s="850">
        <v>0</v>
      </c>
      <c r="G15" s="851">
        <f t="shared" si="0"/>
        <v>83714083.19600001</v>
      </c>
      <c r="H15" s="754"/>
      <c r="I15" s="754"/>
      <c r="J15" s="754"/>
      <c r="K15" s="754"/>
      <c r="L15" s="754"/>
    </row>
    <row r="16" spans="1:12">
      <c r="A16" s="845">
        <f t="shared" si="1"/>
        <v>7</v>
      </c>
      <c r="B16" s="800" t="s">
        <v>581</v>
      </c>
      <c r="C16" s="850">
        <v>79917664.606000006</v>
      </c>
      <c r="D16" s="850">
        <v>0</v>
      </c>
      <c r="E16" s="850">
        <v>0</v>
      </c>
      <c r="F16" s="850">
        <v>0</v>
      </c>
      <c r="G16" s="851">
        <f t="shared" si="0"/>
        <v>79917664.606000006</v>
      </c>
      <c r="H16" s="754"/>
      <c r="I16" s="754"/>
      <c r="J16" s="754"/>
      <c r="K16" s="754"/>
      <c r="L16" s="754"/>
    </row>
    <row r="17" spans="1:12">
      <c r="A17" s="845">
        <f t="shared" si="1"/>
        <v>8</v>
      </c>
      <c r="B17" s="800" t="s">
        <v>582</v>
      </c>
      <c r="C17" s="850">
        <v>80591471.579000026</v>
      </c>
      <c r="D17" s="850">
        <v>0</v>
      </c>
      <c r="E17" s="850">
        <v>0</v>
      </c>
      <c r="F17" s="850">
        <v>0</v>
      </c>
      <c r="G17" s="851">
        <f t="shared" si="0"/>
        <v>80591471.579000026</v>
      </c>
      <c r="H17" s="754"/>
      <c r="I17" s="754"/>
      <c r="J17" s="754"/>
      <c r="K17" s="754"/>
      <c r="L17" s="754"/>
    </row>
    <row r="18" spans="1:12">
      <c r="A18" s="845">
        <f t="shared" si="1"/>
        <v>9</v>
      </c>
      <c r="B18" s="800" t="s">
        <v>716</v>
      </c>
      <c r="C18" s="850">
        <v>73222404.19599998</v>
      </c>
      <c r="D18" s="850">
        <v>0</v>
      </c>
      <c r="E18" s="850">
        <v>0</v>
      </c>
      <c r="F18" s="850">
        <v>0</v>
      </c>
      <c r="G18" s="851">
        <f t="shared" si="0"/>
        <v>73222404.19599998</v>
      </c>
      <c r="H18" s="754"/>
      <c r="I18" s="754"/>
      <c r="J18" s="754"/>
      <c r="K18" s="754"/>
      <c r="L18" s="754"/>
    </row>
    <row r="19" spans="1:12">
      <c r="A19" s="845">
        <f t="shared" si="1"/>
        <v>10</v>
      </c>
      <c r="B19" s="800" t="s">
        <v>584</v>
      </c>
      <c r="C19" s="850">
        <v>73891533.631000012</v>
      </c>
      <c r="D19" s="850">
        <v>0</v>
      </c>
      <c r="E19" s="850">
        <v>0</v>
      </c>
      <c r="F19" s="850">
        <v>0</v>
      </c>
      <c r="G19" s="851">
        <f t="shared" si="0"/>
        <v>73891533.631000012</v>
      </c>
      <c r="H19" s="754"/>
      <c r="I19" s="754"/>
      <c r="J19" s="754"/>
      <c r="K19" s="754"/>
      <c r="L19" s="754"/>
    </row>
    <row r="20" spans="1:12">
      <c r="A20" s="845">
        <f t="shared" si="1"/>
        <v>11</v>
      </c>
      <c r="B20" s="800" t="s">
        <v>585</v>
      </c>
      <c r="C20" s="850">
        <v>74591221.330000013</v>
      </c>
      <c r="D20" s="850">
        <v>0</v>
      </c>
      <c r="E20" s="850">
        <v>0</v>
      </c>
      <c r="F20" s="850">
        <v>0</v>
      </c>
      <c r="G20" s="851">
        <f t="shared" si="0"/>
        <v>74591221.330000013</v>
      </c>
      <c r="H20" s="754"/>
      <c r="I20" s="754"/>
      <c r="J20" s="754"/>
      <c r="K20" s="754"/>
      <c r="L20" s="754"/>
    </row>
    <row r="21" spans="1:12">
      <c r="A21" s="845">
        <f t="shared" si="1"/>
        <v>12</v>
      </c>
      <c r="B21" s="800" t="s">
        <v>586</v>
      </c>
      <c r="C21" s="850">
        <v>56169993.946000017</v>
      </c>
      <c r="D21" s="850">
        <v>0</v>
      </c>
      <c r="E21" s="850">
        <v>0</v>
      </c>
      <c r="F21" s="850">
        <v>0</v>
      </c>
      <c r="G21" s="851">
        <f t="shared" si="0"/>
        <v>56169993.946000017</v>
      </c>
      <c r="H21" s="754"/>
      <c r="I21" s="754"/>
      <c r="J21" s="754"/>
      <c r="K21" s="754"/>
      <c r="L21" s="754"/>
    </row>
    <row r="22" spans="1:12">
      <c r="A22" s="852">
        <f t="shared" si="1"/>
        <v>13</v>
      </c>
      <c r="B22" s="802" t="s">
        <v>717</v>
      </c>
      <c r="C22" s="850">
        <v>57165622.690000005</v>
      </c>
      <c r="D22" s="850">
        <v>0</v>
      </c>
      <c r="E22" s="850">
        <v>0</v>
      </c>
      <c r="F22" s="850">
        <v>0</v>
      </c>
      <c r="G22" s="851">
        <f t="shared" si="0"/>
        <v>57165622.690000005</v>
      </c>
      <c r="H22" s="754"/>
      <c r="I22" s="754"/>
      <c r="J22" s="754"/>
      <c r="K22" s="754"/>
      <c r="L22" s="754"/>
    </row>
    <row r="23" spans="1:12" ht="13.5" thickBot="1">
      <c r="A23" s="852">
        <f t="shared" si="1"/>
        <v>14</v>
      </c>
      <c r="B23" s="803" t="s">
        <v>718</v>
      </c>
      <c r="C23" s="820">
        <f>SUM(C10:C22)/13</f>
        <v>76008164.990230769</v>
      </c>
      <c r="D23" s="804">
        <f>SUM(D10:D22)/13</f>
        <v>0</v>
      </c>
      <c r="E23" s="804">
        <f>SUM(E10:E22)/13</f>
        <v>0</v>
      </c>
      <c r="F23" s="804">
        <f>SUM(F10:F22)/13</f>
        <v>0</v>
      </c>
      <c r="G23" s="853">
        <f>SUM(G10:G22)/13</f>
        <v>76008164.990230769</v>
      </c>
      <c r="H23" s="754"/>
      <c r="I23" s="754"/>
      <c r="J23" s="754"/>
      <c r="K23" s="754"/>
      <c r="L23" s="754"/>
    </row>
    <row r="24" spans="1:12" ht="13.5" thickTop="1">
      <c r="A24" s="755"/>
      <c r="B24" s="805"/>
      <c r="C24" s="806"/>
      <c r="D24" s="807"/>
      <c r="E24" s="807"/>
      <c r="F24" s="807"/>
      <c r="G24" s="806"/>
      <c r="H24" s="806"/>
      <c r="I24" s="754"/>
      <c r="J24" s="754"/>
      <c r="K24" s="754"/>
      <c r="L24" s="754"/>
    </row>
    <row r="25" spans="1:12" ht="12.75" customHeight="1">
      <c r="A25" s="755"/>
      <c r="B25" s="788"/>
      <c r="C25" s="1208" t="s">
        <v>542</v>
      </c>
      <c r="D25" s="1209"/>
      <c r="E25" s="1209"/>
      <c r="F25" s="1209"/>
      <c r="G25" s="1209"/>
      <c r="H25" s="1210"/>
      <c r="I25" s="754"/>
      <c r="J25" s="754"/>
      <c r="K25" s="754"/>
      <c r="L25" s="754"/>
    </row>
    <row r="26" spans="1:12" s="844" customFormat="1" ht="38.25">
      <c r="A26" s="842" t="s">
        <v>702</v>
      </c>
      <c r="B26" s="793" t="s">
        <v>703</v>
      </c>
      <c r="C26" s="815" t="s">
        <v>743</v>
      </c>
      <c r="D26" s="794" t="s">
        <v>744</v>
      </c>
      <c r="E26" s="794" t="s">
        <v>758</v>
      </c>
      <c r="F26" s="794" t="s">
        <v>759</v>
      </c>
      <c r="G26" s="794" t="s">
        <v>745</v>
      </c>
      <c r="H26" s="843" t="s">
        <v>757</v>
      </c>
      <c r="I26" s="754"/>
      <c r="J26" s="754"/>
      <c r="K26" s="754"/>
      <c r="L26" s="754"/>
    </row>
    <row r="27" spans="1:12" s="847" customFormat="1">
      <c r="A27" s="845"/>
      <c r="B27" s="796" t="s">
        <v>707</v>
      </c>
      <c r="C27" s="816" t="s">
        <v>725</v>
      </c>
      <c r="D27" s="790" t="s">
        <v>726</v>
      </c>
      <c r="E27" s="790" t="s">
        <v>708</v>
      </c>
      <c r="F27" s="790" t="s">
        <v>709</v>
      </c>
      <c r="G27" s="790" t="s">
        <v>746</v>
      </c>
      <c r="H27" s="846" t="s">
        <v>747</v>
      </c>
      <c r="I27" s="754"/>
      <c r="J27" s="754"/>
      <c r="K27" s="754"/>
      <c r="L27" s="754"/>
    </row>
    <row r="28" spans="1:12" s="847" customFormat="1" ht="44.25" customHeight="1">
      <c r="A28" s="845"/>
      <c r="B28" s="796" t="s">
        <v>713</v>
      </c>
      <c r="C28" s="848" t="s">
        <v>748</v>
      </c>
      <c r="D28" s="798" t="s">
        <v>749</v>
      </c>
      <c r="E28" s="798" t="s">
        <v>750</v>
      </c>
      <c r="F28" s="798" t="s">
        <v>751</v>
      </c>
      <c r="G28" s="798" t="s">
        <v>752</v>
      </c>
      <c r="H28" s="854"/>
      <c r="I28" s="754"/>
      <c r="J28" s="754"/>
      <c r="K28" s="754"/>
      <c r="L28" s="754"/>
    </row>
    <row r="29" spans="1:12">
      <c r="A29" s="845">
        <f>+A23+1</f>
        <v>15</v>
      </c>
      <c r="B29" s="799" t="s">
        <v>714</v>
      </c>
      <c r="C29" s="850">
        <v>0</v>
      </c>
      <c r="D29" s="850">
        <v>0</v>
      </c>
      <c r="E29" s="850">
        <v>64000000</v>
      </c>
      <c r="F29" s="850">
        <v>0</v>
      </c>
      <c r="G29" s="850">
        <v>0</v>
      </c>
      <c r="H29" s="851">
        <f>+C29-D29+E29+F29-G29</f>
        <v>64000000</v>
      </c>
      <c r="I29" s="754"/>
      <c r="J29" s="754"/>
      <c r="K29" s="754"/>
      <c r="L29" s="754"/>
    </row>
    <row r="30" spans="1:12">
      <c r="A30" s="845">
        <f>+A29+1</f>
        <v>16</v>
      </c>
      <c r="B30" s="799" t="s">
        <v>576</v>
      </c>
      <c r="C30" s="850">
        <v>0</v>
      </c>
      <c r="D30" s="850">
        <v>0</v>
      </c>
      <c r="E30" s="850">
        <v>64000000</v>
      </c>
      <c r="F30" s="850">
        <v>0</v>
      </c>
      <c r="G30" s="850">
        <v>0</v>
      </c>
      <c r="H30" s="851">
        <f t="shared" ref="H30:H41" si="2">+C30-D30+E30+F30-G30</f>
        <v>64000000</v>
      </c>
      <c r="I30" s="754"/>
      <c r="J30" s="754"/>
      <c r="K30" s="754"/>
      <c r="L30" s="754"/>
    </row>
    <row r="31" spans="1:12">
      <c r="A31" s="845">
        <f t="shared" ref="A31:A42" si="3">+A30+1</f>
        <v>17</v>
      </c>
      <c r="B31" s="800" t="s">
        <v>577</v>
      </c>
      <c r="C31" s="850">
        <v>0</v>
      </c>
      <c r="D31" s="850">
        <v>0</v>
      </c>
      <c r="E31" s="850">
        <v>64000000</v>
      </c>
      <c r="F31" s="850">
        <v>0</v>
      </c>
      <c r="G31" s="850">
        <v>0</v>
      </c>
      <c r="H31" s="851">
        <f t="shared" si="2"/>
        <v>64000000</v>
      </c>
      <c r="I31" s="754"/>
      <c r="J31" s="754"/>
      <c r="K31" s="754"/>
      <c r="L31" s="754"/>
    </row>
    <row r="32" spans="1:12">
      <c r="A32" s="845">
        <f t="shared" si="3"/>
        <v>18</v>
      </c>
      <c r="B32" s="800" t="s">
        <v>715</v>
      </c>
      <c r="C32" s="850">
        <v>0</v>
      </c>
      <c r="D32" s="850">
        <v>0</v>
      </c>
      <c r="E32" s="850">
        <v>59000000</v>
      </c>
      <c r="F32" s="850">
        <v>0</v>
      </c>
      <c r="G32" s="850">
        <v>0</v>
      </c>
      <c r="H32" s="851">
        <f t="shared" si="2"/>
        <v>59000000</v>
      </c>
      <c r="I32" s="754"/>
      <c r="J32" s="754"/>
      <c r="K32" s="754"/>
      <c r="L32" s="754"/>
    </row>
    <row r="33" spans="1:12">
      <c r="A33" s="845">
        <f t="shared" si="3"/>
        <v>19</v>
      </c>
      <c r="B33" s="800" t="s">
        <v>579</v>
      </c>
      <c r="C33" s="850">
        <v>0</v>
      </c>
      <c r="D33" s="850">
        <v>0</v>
      </c>
      <c r="E33" s="850">
        <v>59000000</v>
      </c>
      <c r="F33" s="850">
        <v>0</v>
      </c>
      <c r="G33" s="850">
        <v>0</v>
      </c>
      <c r="H33" s="851">
        <f t="shared" si="2"/>
        <v>59000000</v>
      </c>
      <c r="I33" s="754"/>
      <c r="J33" s="754"/>
      <c r="K33" s="754"/>
      <c r="L33" s="754"/>
    </row>
    <row r="34" spans="1:12">
      <c r="A34" s="845">
        <f t="shared" si="3"/>
        <v>20</v>
      </c>
      <c r="B34" s="800" t="s">
        <v>580</v>
      </c>
      <c r="C34" s="850">
        <v>0</v>
      </c>
      <c r="D34" s="850">
        <v>0</v>
      </c>
      <c r="E34" s="850">
        <v>59000000</v>
      </c>
      <c r="F34" s="850">
        <v>0</v>
      </c>
      <c r="G34" s="850">
        <v>0</v>
      </c>
      <c r="H34" s="851">
        <f>+C34-D34+E34+F34-G34</f>
        <v>59000000</v>
      </c>
      <c r="I34" s="754"/>
      <c r="J34" s="754"/>
      <c r="K34" s="754"/>
      <c r="L34" s="754"/>
    </row>
    <row r="35" spans="1:12">
      <c r="A35" s="845">
        <f t="shared" si="3"/>
        <v>21</v>
      </c>
      <c r="B35" s="800" t="s">
        <v>581</v>
      </c>
      <c r="C35" s="850">
        <v>0</v>
      </c>
      <c r="D35" s="850">
        <v>0</v>
      </c>
      <c r="E35" s="850">
        <v>57000000</v>
      </c>
      <c r="F35" s="850">
        <v>0</v>
      </c>
      <c r="G35" s="850">
        <v>0</v>
      </c>
      <c r="H35" s="851">
        <f t="shared" si="2"/>
        <v>57000000</v>
      </c>
      <c r="I35" s="754"/>
      <c r="J35" s="754"/>
      <c r="K35" s="754"/>
      <c r="L35" s="754"/>
    </row>
    <row r="36" spans="1:12">
      <c r="A36" s="845">
        <f t="shared" si="3"/>
        <v>22</v>
      </c>
      <c r="B36" s="800" t="s">
        <v>582</v>
      </c>
      <c r="C36" s="850">
        <v>0</v>
      </c>
      <c r="D36" s="850">
        <v>0</v>
      </c>
      <c r="E36" s="850">
        <v>57000000</v>
      </c>
      <c r="F36" s="850">
        <v>0</v>
      </c>
      <c r="G36" s="850">
        <v>0</v>
      </c>
      <c r="H36" s="851">
        <f t="shared" si="2"/>
        <v>57000000</v>
      </c>
      <c r="I36" s="754"/>
      <c r="J36" s="754"/>
      <c r="K36" s="754"/>
      <c r="L36" s="754"/>
    </row>
    <row r="37" spans="1:12">
      <c r="A37" s="845">
        <f t="shared" si="3"/>
        <v>23</v>
      </c>
      <c r="B37" s="800" t="s">
        <v>716</v>
      </c>
      <c r="C37" s="850">
        <v>0</v>
      </c>
      <c r="D37" s="850">
        <v>0</v>
      </c>
      <c r="E37" s="850">
        <v>57000000</v>
      </c>
      <c r="F37" s="850">
        <v>0</v>
      </c>
      <c r="G37" s="850">
        <v>0</v>
      </c>
      <c r="H37" s="851">
        <f t="shared" si="2"/>
        <v>57000000</v>
      </c>
      <c r="I37" s="754"/>
      <c r="J37" s="754"/>
      <c r="K37" s="754"/>
      <c r="L37" s="754"/>
    </row>
    <row r="38" spans="1:12">
      <c r="A38" s="845">
        <f t="shared" si="3"/>
        <v>24</v>
      </c>
      <c r="B38" s="800" t="s">
        <v>584</v>
      </c>
      <c r="C38" s="850">
        <v>0</v>
      </c>
      <c r="D38" s="850">
        <v>0</v>
      </c>
      <c r="E38" s="850">
        <v>59000000</v>
      </c>
      <c r="F38" s="850">
        <v>0</v>
      </c>
      <c r="G38" s="850">
        <v>0</v>
      </c>
      <c r="H38" s="851">
        <f t="shared" si="2"/>
        <v>59000000</v>
      </c>
      <c r="I38" s="754"/>
      <c r="J38" s="754"/>
      <c r="K38" s="754"/>
      <c r="L38" s="754"/>
    </row>
    <row r="39" spans="1:12">
      <c r="A39" s="845">
        <f t="shared" si="3"/>
        <v>25</v>
      </c>
      <c r="B39" s="800" t="s">
        <v>585</v>
      </c>
      <c r="C39" s="850">
        <v>0</v>
      </c>
      <c r="D39" s="850">
        <v>0</v>
      </c>
      <c r="E39" s="850">
        <v>69000000</v>
      </c>
      <c r="F39" s="850">
        <v>0</v>
      </c>
      <c r="G39" s="850">
        <v>0</v>
      </c>
      <c r="H39" s="851">
        <f t="shared" si="2"/>
        <v>69000000</v>
      </c>
      <c r="I39" s="754"/>
      <c r="J39" s="754"/>
      <c r="K39" s="754"/>
      <c r="L39" s="754"/>
    </row>
    <row r="40" spans="1:12">
      <c r="A40" s="845">
        <f t="shared" si="3"/>
        <v>26</v>
      </c>
      <c r="B40" s="800" t="s">
        <v>586</v>
      </c>
      <c r="C40" s="850">
        <v>0</v>
      </c>
      <c r="D40" s="850">
        <v>0</v>
      </c>
      <c r="E40" s="850">
        <v>72000000</v>
      </c>
      <c r="F40" s="850">
        <v>0</v>
      </c>
      <c r="G40" s="850">
        <v>0</v>
      </c>
      <c r="H40" s="851">
        <f t="shared" si="2"/>
        <v>72000000</v>
      </c>
      <c r="I40" s="754"/>
      <c r="J40" s="754"/>
      <c r="K40" s="754"/>
      <c r="L40" s="754"/>
    </row>
    <row r="41" spans="1:12">
      <c r="A41" s="852">
        <f t="shared" si="3"/>
        <v>27</v>
      </c>
      <c r="B41" s="802" t="s">
        <v>717</v>
      </c>
      <c r="C41" s="850">
        <v>0</v>
      </c>
      <c r="D41" s="850">
        <v>0</v>
      </c>
      <c r="E41" s="850">
        <v>72000000</v>
      </c>
      <c r="F41" s="850">
        <v>0</v>
      </c>
      <c r="G41" s="850">
        <v>0</v>
      </c>
      <c r="H41" s="851">
        <f t="shared" si="2"/>
        <v>72000000</v>
      </c>
      <c r="I41" s="754"/>
      <c r="J41" s="754"/>
      <c r="K41" s="754"/>
      <c r="L41" s="754"/>
    </row>
    <row r="42" spans="1:12" ht="13.5" thickBot="1">
      <c r="A42" s="856">
        <f t="shared" si="3"/>
        <v>28</v>
      </c>
      <c r="B42" s="809" t="s">
        <v>718</v>
      </c>
      <c r="C42" s="820">
        <f t="shared" ref="C42:H42" si="4">SUM(C29:C41)/13</f>
        <v>0</v>
      </c>
      <c r="D42" s="804">
        <f t="shared" si="4"/>
        <v>0</v>
      </c>
      <c r="E42" s="804">
        <f t="shared" si="4"/>
        <v>62461538.461538464</v>
      </c>
      <c r="F42" s="804">
        <f t="shared" si="4"/>
        <v>0</v>
      </c>
      <c r="G42" s="804">
        <f t="shared" si="4"/>
        <v>0</v>
      </c>
      <c r="H42" s="853">
        <f t="shared" si="4"/>
        <v>62461538.461538464</v>
      </c>
      <c r="I42" s="754"/>
      <c r="J42" s="754"/>
      <c r="K42" s="754"/>
      <c r="L42" s="754"/>
    </row>
    <row r="43" spans="1:12" ht="13.5" thickTop="1">
      <c r="A43" s="837"/>
      <c r="B43" s="857"/>
      <c r="C43" s="858"/>
      <c r="D43" s="859"/>
      <c r="E43" s="859"/>
      <c r="F43" s="859"/>
      <c r="G43" s="858"/>
      <c r="H43" s="858"/>
      <c r="I43" s="754"/>
      <c r="J43" s="754"/>
      <c r="K43" s="754"/>
      <c r="L43" s="754"/>
    </row>
    <row r="44" spans="1:12" ht="12.75" customHeight="1">
      <c r="A44" s="860" t="s">
        <v>753</v>
      </c>
      <c r="F44" s="861"/>
      <c r="G44" s="861"/>
      <c r="H44" s="861"/>
      <c r="I44" s="754"/>
      <c r="J44" s="754"/>
      <c r="K44" s="754"/>
    </row>
    <row r="45" spans="1:12">
      <c r="E45" s="861"/>
      <c r="F45" s="861"/>
      <c r="G45" s="861"/>
      <c r="H45" s="861"/>
      <c r="J45" s="857"/>
    </row>
    <row r="46" spans="1:12" ht="15">
      <c r="A46" s="863" t="s">
        <v>340</v>
      </c>
      <c r="E46" s="861"/>
      <c r="F46" s="861"/>
      <c r="G46" s="861"/>
      <c r="H46" s="755"/>
    </row>
    <row r="47" spans="1:12" ht="15">
      <c r="A47" s="863"/>
      <c r="B47" s="864" t="s">
        <v>707</v>
      </c>
      <c r="C47" s="864" t="s">
        <v>725</v>
      </c>
      <c r="D47" s="865" t="s">
        <v>726</v>
      </c>
      <c r="E47" s="864" t="s">
        <v>708</v>
      </c>
      <c r="F47" s="865" t="s">
        <v>709</v>
      </c>
      <c r="G47" s="864" t="s">
        <v>746</v>
      </c>
      <c r="H47" s="864" t="s">
        <v>754</v>
      </c>
    </row>
    <row r="48" spans="1:12">
      <c r="A48" s="500">
        <f>+A42+1</f>
        <v>29</v>
      </c>
      <c r="B48" s="866" t="str">
        <f>"Annual Interest Expense for "&amp;TCOS!L4</f>
        <v>Annual Interest Expense for 2025</v>
      </c>
      <c r="C48" s="867"/>
      <c r="D48" s="868"/>
      <c r="E48" s="869"/>
      <c r="F48" s="869"/>
      <c r="G48" s="869"/>
      <c r="H48" s="869"/>
      <c r="I48" s="869"/>
      <c r="J48" s="869"/>
      <c r="K48" s="869"/>
      <c r="L48" s="869"/>
    </row>
    <row r="49" spans="1:12">
      <c r="A49" s="500">
        <f>+A48+1</f>
        <v>30</v>
      </c>
      <c r="B49" s="924" t="s">
        <v>979</v>
      </c>
      <c r="C49" s="867"/>
      <c r="D49" s="868"/>
      <c r="E49" s="871">
        <v>2321412.5</v>
      </c>
      <c r="F49" s="869"/>
      <c r="G49" s="869"/>
      <c r="H49" s="869"/>
      <c r="I49" s="869"/>
      <c r="J49" s="869"/>
      <c r="K49" s="869"/>
      <c r="L49" s="869"/>
    </row>
    <row r="50" spans="1:12" ht="28.5" customHeight="1">
      <c r="A50" s="500">
        <f t="shared" ref="A50:A55" si="5">+A49+1</f>
        <v>31</v>
      </c>
      <c r="B50" s="1202" t="str">
        <f>"Less: Total Hedge Gain/Expense Accumulated from p 256-257, col. (i) of FERC Form 1  included in Ln "&amp;A49&amp;" and shown in "&amp;A68&amp;" below."</f>
        <v>Less: Total Hedge Gain/Expense Accumulated from p 256-257, col. (i) of FERC Form 1  included in Ln 30 and shown in 43 below.</v>
      </c>
      <c r="C50" s="1203"/>
      <c r="D50" s="868"/>
      <c r="E50" s="867">
        <f>+C68</f>
        <v>0</v>
      </c>
      <c r="F50" s="869"/>
      <c r="G50" s="869"/>
      <c r="H50" s="869"/>
      <c r="I50" s="869"/>
      <c r="J50" s="869"/>
      <c r="K50" s="869"/>
      <c r="L50" s="869"/>
    </row>
    <row r="51" spans="1:12">
      <c r="A51" s="500">
        <f t="shared" si="5"/>
        <v>32</v>
      </c>
      <c r="B51" s="924" t="s">
        <v>773</v>
      </c>
      <c r="C51" s="869"/>
      <c r="D51" s="869"/>
      <c r="E51" s="871">
        <v>34182.19</v>
      </c>
      <c r="F51" s="869"/>
      <c r="G51" s="869"/>
      <c r="H51" s="869"/>
      <c r="I51" s="869"/>
      <c r="J51" s="869"/>
    </row>
    <row r="52" spans="1:12">
      <c r="A52" s="500">
        <f t="shared" si="5"/>
        <v>33</v>
      </c>
      <c r="B52" s="924" t="s">
        <v>774</v>
      </c>
      <c r="C52" s="872"/>
      <c r="D52" s="868"/>
      <c r="E52" s="871">
        <v>0</v>
      </c>
      <c r="F52" s="869"/>
      <c r="G52" s="869"/>
      <c r="H52" s="869"/>
      <c r="I52" s="869"/>
      <c r="J52" s="869"/>
    </row>
    <row r="53" spans="1:12">
      <c r="A53" s="500">
        <f t="shared" si="5"/>
        <v>34</v>
      </c>
      <c r="B53" s="924" t="s">
        <v>775</v>
      </c>
      <c r="C53" s="872"/>
      <c r="D53" s="868"/>
      <c r="E53" s="871">
        <v>2722.92</v>
      </c>
      <c r="F53" s="869"/>
      <c r="G53" s="869"/>
      <c r="H53" s="869"/>
      <c r="I53" s="869"/>
      <c r="J53" s="869"/>
    </row>
    <row r="54" spans="1:12" ht="13.5" thickBot="1">
      <c r="A54" s="500">
        <f t="shared" si="5"/>
        <v>35</v>
      </c>
      <c r="B54" s="924" t="s">
        <v>776</v>
      </c>
      <c r="C54" s="872"/>
      <c r="D54" s="868"/>
      <c r="E54" s="873">
        <v>0</v>
      </c>
      <c r="F54" s="869"/>
      <c r="G54" s="869"/>
      <c r="H54" s="869"/>
      <c r="I54" s="869"/>
      <c r="J54" s="869"/>
    </row>
    <row r="55" spans="1:12">
      <c r="A55" s="500">
        <f t="shared" si="5"/>
        <v>36</v>
      </c>
      <c r="B55" s="866" t="str">
        <f>"Total Interest Expense (Ln "&amp;A49&amp;" - "&amp;A50&amp;" + "&amp;A51&amp;" + "&amp;A52&amp;" - "&amp;A53&amp;" - "&amp;A54&amp;")"</f>
        <v>Total Interest Expense (Ln 30 - 31 + 32 + 33 - 34 - 35)</v>
      </c>
      <c r="C55" s="874"/>
      <c r="D55" s="875"/>
      <c r="E55" s="876">
        <f>+E49-E50+E51+E52-E53-E54</f>
        <v>2352871.77</v>
      </c>
      <c r="F55" s="869"/>
      <c r="G55" s="869"/>
      <c r="H55" s="869"/>
      <c r="I55" s="869"/>
      <c r="J55" s="869"/>
    </row>
    <row r="56" spans="1:12" ht="13.5" thickBot="1">
      <c r="A56" s="500"/>
      <c r="B56" s="870"/>
      <c r="C56" s="872"/>
      <c r="D56" s="868"/>
      <c r="E56" s="877"/>
      <c r="F56" s="869"/>
      <c r="G56" s="869"/>
      <c r="H56" s="869"/>
      <c r="I56" s="869"/>
      <c r="J56" s="869"/>
    </row>
    <row r="57" spans="1:12" ht="13.5" thickBot="1">
      <c r="A57" s="500">
        <f>+A55+1</f>
        <v>37</v>
      </c>
      <c r="B57" s="866" t="str">
        <f>"Average Cost of Debt for "&amp;TCOS!L4&amp;" (Ln "&amp;A55&amp;"/ ln "&amp;A42&amp;" (g))"</f>
        <v>Average Cost of Debt for 2025 (Ln 36/ ln 28 (g))</v>
      </c>
      <c r="C57" s="874"/>
      <c r="D57" s="868"/>
      <c r="E57" s="878">
        <f>+E55/H42</f>
        <v>3.7669129322660096E-2</v>
      </c>
      <c r="F57" s="869"/>
      <c r="G57" s="869"/>
      <c r="H57" s="869"/>
      <c r="I57" s="869"/>
      <c r="J57" s="869"/>
    </row>
    <row r="58" spans="1:12">
      <c r="A58" s="879"/>
      <c r="B58" s="870"/>
      <c r="C58" s="872"/>
      <c r="D58" s="868"/>
      <c r="E58" s="872"/>
      <c r="F58" s="869"/>
      <c r="G58" s="869"/>
      <c r="H58" s="869"/>
      <c r="I58" s="869"/>
      <c r="J58" s="869"/>
    </row>
    <row r="59" spans="1:12" ht="16.5" customHeight="1">
      <c r="A59" s="880"/>
      <c r="B59" s="1204" t="s">
        <v>755</v>
      </c>
      <c r="C59" s="1204"/>
      <c r="D59" s="1204"/>
      <c r="E59" s="1204"/>
      <c r="F59" s="881"/>
      <c r="G59" s="869"/>
      <c r="H59" s="869"/>
      <c r="I59" s="869"/>
      <c r="J59" s="869"/>
    </row>
    <row r="60" spans="1:12" ht="21" customHeight="1">
      <c r="A60" s="882">
        <f>+A57+1</f>
        <v>38</v>
      </c>
      <c r="B60" s="1205" t="str">
        <f>""&amp;A4&amp;" may not include costs (or gains) related to interest hedging activities."</f>
        <v>AEP Kentucky Transmission Company may not include costs (or gains) related to interest hedging activities.</v>
      </c>
      <c r="C60" s="1205"/>
      <c r="D60" s="1205"/>
      <c r="E60" s="1205"/>
      <c r="F60" s="1205"/>
      <c r="G60" s="883"/>
      <c r="H60" s="883"/>
      <c r="I60" s="869"/>
      <c r="J60" s="869"/>
    </row>
    <row r="61" spans="1:12">
      <c r="A61" s="884"/>
      <c r="B61" s="885"/>
      <c r="C61" s="885"/>
      <c r="D61" s="885"/>
      <c r="E61" s="1206" t="s">
        <v>227</v>
      </c>
      <c r="F61" s="1206"/>
      <c r="G61" s="754"/>
      <c r="H61" s="754"/>
      <c r="I61" s="869"/>
      <c r="J61" s="869"/>
    </row>
    <row r="62" spans="1:12" ht="38.25">
      <c r="A62" s="500"/>
      <c r="B62" s="887" t="s">
        <v>228</v>
      </c>
      <c r="C62" s="887" t="str">
        <f>"(Amortization of (Gain)/Loss for "&amp;TCOS!L4</f>
        <v>(Amortization of (Gain)/Loss for 2025</v>
      </c>
      <c r="D62" s="886" t="s">
        <v>229</v>
      </c>
      <c r="E62" s="886" t="s">
        <v>86</v>
      </c>
      <c r="F62" s="886" t="s">
        <v>88</v>
      </c>
      <c r="G62" s="754"/>
      <c r="H62" s="754"/>
      <c r="I62" s="869"/>
      <c r="J62" s="869"/>
    </row>
    <row r="63" spans="1:12">
      <c r="A63" s="500">
        <f>+A60+1</f>
        <v>39</v>
      </c>
      <c r="B63" s="888"/>
      <c r="C63" s="855"/>
      <c r="D63" s="888"/>
      <c r="E63" s="888"/>
      <c r="F63" s="889"/>
      <c r="G63" s="754"/>
      <c r="H63" s="754"/>
      <c r="I63" s="869"/>
      <c r="J63" s="869"/>
    </row>
    <row r="64" spans="1:12">
      <c r="A64" s="500">
        <f>+A63+1</f>
        <v>40</v>
      </c>
      <c r="B64" s="888"/>
      <c r="C64" s="855"/>
      <c r="D64" s="888"/>
      <c r="E64" s="888"/>
      <c r="F64" s="889"/>
      <c r="G64" s="890"/>
      <c r="H64" s="890"/>
      <c r="I64" s="869"/>
      <c r="J64" s="869"/>
    </row>
    <row r="65" spans="1:10">
      <c r="A65" s="500">
        <f>+A64+1</f>
        <v>41</v>
      </c>
      <c r="B65" s="888"/>
      <c r="C65" s="855"/>
      <c r="D65" s="891"/>
      <c r="E65" s="891"/>
      <c r="F65" s="889"/>
      <c r="G65" s="890"/>
      <c r="H65" s="890"/>
      <c r="I65" s="869"/>
      <c r="J65" s="869"/>
    </row>
    <row r="66" spans="1:10">
      <c r="A66" s="500">
        <f>+A65+1</f>
        <v>42</v>
      </c>
      <c r="B66" s="888"/>
      <c r="C66" s="855"/>
      <c r="D66" s="891"/>
      <c r="E66" s="891"/>
      <c r="F66" s="892"/>
      <c r="G66" s="893"/>
      <c r="H66" s="894"/>
      <c r="I66" s="869"/>
      <c r="J66" s="869"/>
    </row>
    <row r="67" spans="1:10">
      <c r="A67" s="500"/>
      <c r="B67" s="869"/>
      <c r="C67" s="895"/>
      <c r="D67" s="895"/>
      <c r="E67" s="896"/>
      <c r="F67" s="869"/>
      <c r="G67" s="869"/>
      <c r="H67" s="869"/>
    </row>
    <row r="68" spans="1:10">
      <c r="A68" s="500">
        <f>+A66+1</f>
        <v>43</v>
      </c>
      <c r="B68" s="897" t="s">
        <v>253</v>
      </c>
      <c r="C68" s="877">
        <f>SUM(C63:C67)</f>
        <v>0</v>
      </c>
      <c r="D68" s="877">
        <f>SUM(D63:D67)</f>
        <v>0</v>
      </c>
      <c r="E68" s="877">
        <f>SUM(E63:E67)</f>
        <v>0</v>
      </c>
      <c r="F68" s="898">
        <f>SUM(F63:F67)</f>
        <v>0</v>
      </c>
      <c r="G68" s="869"/>
      <c r="H68" s="869"/>
    </row>
    <row r="69" spans="1:10">
      <c r="A69" s="500"/>
      <c r="B69" s="870"/>
      <c r="C69" s="877"/>
      <c r="D69" s="877"/>
      <c r="E69" s="877"/>
      <c r="F69" s="869"/>
      <c r="G69" s="869"/>
      <c r="H69" s="869"/>
    </row>
    <row r="70" spans="1:10">
      <c r="A70" s="500"/>
      <c r="B70" s="866"/>
      <c r="C70" s="872"/>
      <c r="D70" s="868"/>
      <c r="E70" s="899"/>
      <c r="F70" s="869"/>
      <c r="G70" s="869"/>
      <c r="H70" s="869"/>
    </row>
    <row r="71" spans="1:10">
      <c r="A71" s="500"/>
      <c r="B71" s="866"/>
      <c r="C71" s="872"/>
      <c r="D71" s="868"/>
      <c r="E71" s="899"/>
      <c r="F71" s="869"/>
      <c r="G71" s="869"/>
      <c r="H71" s="869"/>
    </row>
    <row r="72" spans="1:10" ht="15">
      <c r="A72" s="900" t="s">
        <v>345</v>
      </c>
      <c r="B72" s="866"/>
      <c r="C72" s="872"/>
      <c r="D72" s="868"/>
      <c r="E72" s="899"/>
      <c r="F72" s="869"/>
      <c r="G72" s="869"/>
      <c r="H72" s="869"/>
    </row>
    <row r="73" spans="1:10">
      <c r="A73" s="500"/>
      <c r="B73" s="866"/>
      <c r="C73" s="872"/>
      <c r="D73" s="868"/>
      <c r="E73" s="899"/>
      <c r="F73" s="869"/>
      <c r="G73" s="869"/>
      <c r="H73" s="869"/>
    </row>
    <row r="74" spans="1:10">
      <c r="A74" s="901">
        <f>+A68+1</f>
        <v>44</v>
      </c>
      <c r="B74" s="868" t="str">
        <f>"Balance of Preferred Stock (Line "&amp;A23&amp;" (c))"</f>
        <v>Balance of Preferred Stock (Line 14 (c))</v>
      </c>
      <c r="E74" s="902">
        <f>+D23</f>
        <v>0</v>
      </c>
    </row>
    <row r="75" spans="1:10">
      <c r="A75" s="500">
        <f>+A74+1</f>
        <v>45</v>
      </c>
      <c r="B75" s="868" t="s">
        <v>756</v>
      </c>
      <c r="E75" s="892"/>
    </row>
    <row r="76" spans="1:10">
      <c r="A76" s="500">
        <f>+A75+1</f>
        <v>46</v>
      </c>
      <c r="B76" s="868" t="str">
        <f>"Average Cost of Preferred Stock (Ln "&amp;A75&amp;" / ln "&amp;A74&amp;")"</f>
        <v>Average Cost of Preferred Stock (Ln 45 / ln 44)</v>
      </c>
      <c r="E76" s="903" t="e">
        <f>+E75/E74</f>
        <v>#DIV/0!</v>
      </c>
    </row>
  </sheetData>
  <mergeCells count="10">
    <mergeCell ref="A1:G1"/>
    <mergeCell ref="A2:G2"/>
    <mergeCell ref="A3:G3"/>
    <mergeCell ref="C6:G6"/>
    <mergeCell ref="C25:H25"/>
    <mergeCell ref="B50:C50"/>
    <mergeCell ref="B59:E59"/>
    <mergeCell ref="B60:F60"/>
    <mergeCell ref="E61:F61"/>
    <mergeCell ref="A4:G4"/>
  </mergeCells>
  <pageMargins left="0.7" right="0.7" top="0.75" bottom="0.75" header="0.3" footer="0.3"/>
  <pageSetup scale="66" fitToHeight="0" orientation="landscape" cellComments="asDisplayed" r:id="rId1"/>
  <headerFooter>
    <oddHeader xml:space="preserve">&amp;L&amp;"Times New Roman,Bold Italic"Privileged and Confidential 
Subject to FERC Rules 602 and 606 
&amp;RPage &amp;P of &amp;N
</oddHeader>
  </headerFooter>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90"/>
  <sheetViews>
    <sheetView tabSelected="1" topLeftCell="A17" zoomScale="85" zoomScaleNormal="85" zoomScaleSheetLayoutView="70" workbookViewId="0">
      <selection activeCell="B7" sqref="B7"/>
    </sheetView>
  </sheetViews>
  <sheetFormatPr defaultColWidth="11.42578125" defaultRowHeight="12.75"/>
  <cols>
    <col min="1" max="1" width="10.28515625" style="821" customWidth="1"/>
    <col min="2" max="2" width="57.42578125" style="3" customWidth="1"/>
    <col min="3" max="3" width="26.7109375" style="3" bestFit="1" customWidth="1"/>
    <col min="4" max="4" width="25" style="3" customWidth="1"/>
    <col min="5" max="11" width="20.28515625" style="3" customWidth="1"/>
    <col min="12" max="12" width="20" style="3" customWidth="1"/>
    <col min="13" max="14" width="15.140625" style="3" customWidth="1"/>
    <col min="15" max="16384" width="11.42578125" style="3"/>
  </cols>
  <sheetData>
    <row r="1" spans="1:12" ht="15">
      <c r="A1" s="1146" t="str">
        <f>TCOS!F5</f>
        <v>AEPTCo subsidiaries in PJM</v>
      </c>
      <c r="B1" s="1146" t="s">
        <v>329</v>
      </c>
      <c r="C1" s="1146" t="s">
        <v>329</v>
      </c>
      <c r="D1" s="1146" t="s">
        <v>329</v>
      </c>
      <c r="E1" s="1146" t="s">
        <v>329</v>
      </c>
      <c r="F1" s="1146" t="s">
        <v>329</v>
      </c>
      <c r="G1" s="1146" t="s">
        <v>329</v>
      </c>
      <c r="H1" s="47"/>
      <c r="I1" s="47"/>
    </row>
    <row r="2" spans="1:12" ht="15">
      <c r="A2" s="1147" t="str">
        <f>"Cost of Service Formula Rate Using Actual/Projected FF1 Balances"</f>
        <v>Cost of Service Formula Rate Using Actual/Projected FF1 Balances</v>
      </c>
      <c r="B2" s="1147"/>
      <c r="C2" s="1147"/>
      <c r="D2" s="1147"/>
      <c r="E2" s="1147"/>
      <c r="F2" s="1147"/>
      <c r="G2" s="1147"/>
      <c r="H2" s="47"/>
      <c r="I2" s="47"/>
      <c r="J2" s="47"/>
      <c r="L2" s="787"/>
    </row>
    <row r="3" spans="1:12" ht="15">
      <c r="A3" s="1147" t="s">
        <v>700</v>
      </c>
      <c r="B3" s="1147"/>
      <c r="C3" s="1147"/>
      <c r="D3" s="1147"/>
      <c r="E3" s="1147"/>
      <c r="F3" s="1147"/>
      <c r="G3" s="1147"/>
      <c r="H3" s="47"/>
      <c r="I3" s="47"/>
      <c r="J3" s="47"/>
    </row>
    <row r="4" spans="1:12" ht="15">
      <c r="A4" s="1148" t="str">
        <f>TCOS!F9</f>
        <v>AEP Kentucky Transmission Company</v>
      </c>
      <c r="B4" s="1148"/>
      <c r="C4" s="1148"/>
      <c r="D4" s="1148"/>
      <c r="E4" s="1148"/>
      <c r="F4" s="1148"/>
      <c r="G4" s="1148"/>
      <c r="H4" s="47"/>
      <c r="I4" s="47"/>
      <c r="J4" s="47"/>
    </row>
    <row r="5" spans="1:12">
      <c r="A5" s="47"/>
      <c r="B5" s="788"/>
      <c r="C5" s="788"/>
      <c r="D5" s="788"/>
      <c r="E5" s="789"/>
      <c r="F5" s="790"/>
      <c r="H5" s="790"/>
      <c r="J5" s="790"/>
      <c r="L5" s="790"/>
    </row>
    <row r="6" spans="1:12" ht="12.75" customHeight="1">
      <c r="A6" s="47"/>
      <c r="B6" s="788"/>
      <c r="C6" s="1149" t="s">
        <v>701</v>
      </c>
      <c r="D6" s="1150"/>
      <c r="E6" s="1150"/>
      <c r="F6" s="1150"/>
      <c r="G6" s="1150"/>
      <c r="H6" s="1150"/>
      <c r="I6" s="1151"/>
      <c r="J6" s="791"/>
      <c r="K6" s="791"/>
    </row>
    <row r="7" spans="1:12" s="528" customFormat="1" ht="25.5">
      <c r="A7" s="792" t="s">
        <v>702</v>
      </c>
      <c r="B7" s="793" t="s">
        <v>703</v>
      </c>
      <c r="C7" s="794" t="s">
        <v>417</v>
      </c>
      <c r="D7" s="794" t="s">
        <v>704</v>
      </c>
      <c r="E7" s="794" t="s">
        <v>136</v>
      </c>
      <c r="F7" s="794" t="s">
        <v>705</v>
      </c>
      <c r="G7" s="1091" t="s">
        <v>706</v>
      </c>
      <c r="H7" s="1069" t="s">
        <v>999</v>
      </c>
      <c r="I7" s="1070" t="s">
        <v>1000</v>
      </c>
      <c r="L7" s="3"/>
    </row>
    <row r="8" spans="1:12" s="797" customFormat="1">
      <c r="A8" s="795"/>
      <c r="B8" s="796" t="s">
        <v>707</v>
      </c>
      <c r="C8" s="790" t="s">
        <v>708</v>
      </c>
      <c r="D8" s="790" t="s">
        <v>709</v>
      </c>
      <c r="E8" s="790" t="s">
        <v>710</v>
      </c>
      <c r="F8" s="790" t="s">
        <v>711</v>
      </c>
      <c r="G8" s="1092" t="s">
        <v>712</v>
      </c>
      <c r="H8" s="1071" t="s">
        <v>1001</v>
      </c>
      <c r="I8" s="1072" t="s">
        <v>1002</v>
      </c>
      <c r="L8" s="3"/>
    </row>
    <row r="9" spans="1:12" s="797" customFormat="1" ht="44.25" customHeight="1">
      <c r="A9" s="795"/>
      <c r="B9" s="796" t="s">
        <v>713</v>
      </c>
      <c r="C9" s="798" t="s">
        <v>231</v>
      </c>
      <c r="D9" s="798" t="s">
        <v>232</v>
      </c>
      <c r="E9" s="798" t="s">
        <v>233</v>
      </c>
      <c r="F9" s="798" t="s">
        <v>234</v>
      </c>
      <c r="G9" s="798" t="s">
        <v>235</v>
      </c>
      <c r="H9" s="1073" t="s">
        <v>1003</v>
      </c>
      <c r="I9" s="1074" t="s">
        <v>1004</v>
      </c>
      <c r="L9" s="3"/>
    </row>
    <row r="10" spans="1:12">
      <c r="A10" s="795">
        <v>1</v>
      </c>
      <c r="B10" s="799" t="s">
        <v>714</v>
      </c>
      <c r="C10" s="850">
        <v>159182499.19999999</v>
      </c>
      <c r="D10" s="850"/>
      <c r="E10" s="850">
        <v>25485113.739999998</v>
      </c>
      <c r="F10" s="850"/>
      <c r="G10" s="850">
        <v>1918387.85</v>
      </c>
      <c r="H10" s="1075"/>
      <c r="I10" s="1076"/>
    </row>
    <row r="11" spans="1:12">
      <c r="A11" s="795">
        <f>+A10+1</f>
        <v>2</v>
      </c>
      <c r="B11" s="799" t="s">
        <v>576</v>
      </c>
      <c r="C11" s="850">
        <v>159182675.88</v>
      </c>
      <c r="D11" s="850"/>
      <c r="E11" s="850">
        <v>27471321.100000001</v>
      </c>
      <c r="F11" s="850"/>
      <c r="G11" s="850">
        <v>0</v>
      </c>
      <c r="H11" s="1075"/>
      <c r="I11" s="1076"/>
    </row>
    <row r="12" spans="1:12">
      <c r="A12" s="795">
        <f t="shared" ref="A12:A23" si="0">+A11+1</f>
        <v>3</v>
      </c>
      <c r="B12" s="800" t="s">
        <v>577</v>
      </c>
      <c r="C12" s="850">
        <v>159756734.70999995</v>
      </c>
      <c r="D12" s="850"/>
      <c r="E12" s="850">
        <v>27339327.640000001</v>
      </c>
      <c r="F12" s="850"/>
      <c r="G12" s="850">
        <v>0</v>
      </c>
      <c r="H12" s="1075"/>
      <c r="I12" s="1076"/>
    </row>
    <row r="13" spans="1:12">
      <c r="A13" s="795">
        <f t="shared" si="0"/>
        <v>4</v>
      </c>
      <c r="B13" s="800" t="s">
        <v>715</v>
      </c>
      <c r="C13" s="850">
        <v>160086970.94999999</v>
      </c>
      <c r="D13" s="850"/>
      <c r="E13" s="850">
        <v>27311289.489999998</v>
      </c>
      <c r="F13" s="850"/>
      <c r="G13" s="850">
        <v>0</v>
      </c>
      <c r="H13" s="1075"/>
      <c r="I13" s="1076"/>
    </row>
    <row r="14" spans="1:12">
      <c r="A14" s="795">
        <f t="shared" si="0"/>
        <v>5</v>
      </c>
      <c r="B14" s="800" t="s">
        <v>579</v>
      </c>
      <c r="C14" s="850">
        <v>160064632.02999997</v>
      </c>
      <c r="D14" s="850"/>
      <c r="E14" s="850">
        <v>27318173.979999997</v>
      </c>
      <c r="F14" s="850"/>
      <c r="G14" s="850">
        <v>0</v>
      </c>
      <c r="H14" s="1075"/>
      <c r="I14" s="1076"/>
    </row>
    <row r="15" spans="1:12">
      <c r="A15" s="795">
        <f t="shared" si="0"/>
        <v>6</v>
      </c>
      <c r="B15" s="800" t="s">
        <v>580</v>
      </c>
      <c r="C15" s="850">
        <v>160070615.73999998</v>
      </c>
      <c r="D15" s="850"/>
      <c r="E15" s="850">
        <v>27322952.029999997</v>
      </c>
      <c r="F15" s="850"/>
      <c r="G15" s="850">
        <v>0</v>
      </c>
      <c r="H15" s="1075"/>
      <c r="I15" s="1076"/>
    </row>
    <row r="16" spans="1:12">
      <c r="A16" s="795">
        <f t="shared" si="0"/>
        <v>7</v>
      </c>
      <c r="B16" s="800" t="s">
        <v>581</v>
      </c>
      <c r="C16" s="850">
        <v>160067953.63</v>
      </c>
      <c r="D16" s="850"/>
      <c r="E16" s="850">
        <v>27277017.009999998</v>
      </c>
      <c r="F16" s="850"/>
      <c r="G16" s="850">
        <v>0</v>
      </c>
      <c r="H16" s="1075"/>
      <c r="I16" s="1076"/>
    </row>
    <row r="17" spans="1:12">
      <c r="A17" s="795">
        <f t="shared" si="0"/>
        <v>8</v>
      </c>
      <c r="B17" s="800" t="s">
        <v>582</v>
      </c>
      <c r="C17" s="850">
        <v>160148303.71999997</v>
      </c>
      <c r="D17" s="850"/>
      <c r="E17" s="850">
        <v>27287704.139999997</v>
      </c>
      <c r="F17" s="850"/>
      <c r="G17" s="850">
        <v>0</v>
      </c>
      <c r="H17" s="1075"/>
      <c r="I17" s="1076"/>
    </row>
    <row r="18" spans="1:12">
      <c r="A18" s="795">
        <f t="shared" si="0"/>
        <v>9</v>
      </c>
      <c r="B18" s="800" t="s">
        <v>716</v>
      </c>
      <c r="C18" s="850">
        <v>160156797.44999999</v>
      </c>
      <c r="D18" s="850"/>
      <c r="E18" s="850">
        <v>27300870.929999996</v>
      </c>
      <c r="F18" s="850"/>
      <c r="G18" s="850">
        <v>0</v>
      </c>
      <c r="H18" s="1075"/>
      <c r="I18" s="1076"/>
    </row>
    <row r="19" spans="1:12">
      <c r="A19" s="795">
        <f t="shared" si="0"/>
        <v>10</v>
      </c>
      <c r="B19" s="800" t="s">
        <v>584</v>
      </c>
      <c r="C19" s="850">
        <v>160173045.32999998</v>
      </c>
      <c r="D19" s="850"/>
      <c r="E19" s="850">
        <v>27141360.349999998</v>
      </c>
      <c r="F19" s="850"/>
      <c r="G19" s="850">
        <v>0</v>
      </c>
      <c r="H19" s="1075"/>
      <c r="I19" s="1076"/>
    </row>
    <row r="20" spans="1:12">
      <c r="A20" s="795">
        <f t="shared" si="0"/>
        <v>11</v>
      </c>
      <c r="B20" s="800" t="s">
        <v>585</v>
      </c>
      <c r="C20" s="850">
        <v>160212844.24999997</v>
      </c>
      <c r="D20" s="850"/>
      <c r="E20" s="850">
        <v>27161296.18</v>
      </c>
      <c r="F20" s="850"/>
      <c r="G20" s="850">
        <v>0</v>
      </c>
      <c r="H20" s="1075"/>
      <c r="I20" s="1076"/>
    </row>
    <row r="21" spans="1:12">
      <c r="A21" s="795">
        <f t="shared" si="0"/>
        <v>12</v>
      </c>
      <c r="B21" s="800" t="s">
        <v>586</v>
      </c>
      <c r="C21" s="850">
        <v>160231771.42999998</v>
      </c>
      <c r="D21" s="850"/>
      <c r="E21" s="850">
        <v>27176805.210000001</v>
      </c>
      <c r="F21" s="850"/>
      <c r="G21" s="850">
        <v>0</v>
      </c>
      <c r="H21" s="1075"/>
      <c r="I21" s="1076"/>
    </row>
    <row r="22" spans="1:12">
      <c r="A22" s="801">
        <f t="shared" si="0"/>
        <v>13</v>
      </c>
      <c r="B22" s="802" t="s">
        <v>717</v>
      </c>
      <c r="C22" s="850">
        <v>160954976.25999999</v>
      </c>
      <c r="D22" s="850"/>
      <c r="E22" s="850">
        <v>27261687.219999995</v>
      </c>
      <c r="F22" s="850"/>
      <c r="G22" s="850">
        <v>0</v>
      </c>
      <c r="H22" s="1075"/>
      <c r="I22" s="1077"/>
    </row>
    <row r="23" spans="1:12" ht="13.5" thickBot="1">
      <c r="A23" s="801">
        <f t="shared" si="0"/>
        <v>14</v>
      </c>
      <c r="B23" s="803" t="s">
        <v>718</v>
      </c>
      <c r="C23" s="804">
        <f>SUM(C10:C22)/13</f>
        <v>160022293.89076921</v>
      </c>
      <c r="D23" s="804">
        <f>SUM(D10:D22)/13</f>
        <v>0</v>
      </c>
      <c r="E23" s="804">
        <f>SUM(E10:E22)/13</f>
        <v>27142686.078461532</v>
      </c>
      <c r="F23" s="804">
        <f>SUM(F10:F22)/13</f>
        <v>0</v>
      </c>
      <c r="G23" s="804">
        <f>SUM(G10:G22)/13</f>
        <v>147568.29615384617</v>
      </c>
      <c r="H23" s="1078">
        <f t="shared" ref="H23:I23" si="1">SUM(H10:H22)/13</f>
        <v>0</v>
      </c>
      <c r="I23" s="1079">
        <f t="shared" si="1"/>
        <v>0</v>
      </c>
    </row>
    <row r="24" spans="1:12" ht="13.5" thickTop="1">
      <c r="A24" s="47"/>
      <c r="B24" s="805"/>
      <c r="C24" s="806"/>
      <c r="D24" s="807"/>
      <c r="E24" s="807"/>
      <c r="F24" s="807"/>
      <c r="G24" s="806"/>
      <c r="H24" s="806"/>
      <c r="I24" s="806"/>
    </row>
    <row r="25" spans="1:12" ht="12.75" customHeight="1">
      <c r="A25" s="47"/>
      <c r="B25" s="788"/>
      <c r="C25" s="1143" t="s">
        <v>719</v>
      </c>
      <c r="D25" s="1144"/>
      <c r="E25" s="1144"/>
      <c r="F25" s="1144"/>
      <c r="G25" s="1144"/>
      <c r="H25" s="1144"/>
      <c r="I25" s="1145"/>
      <c r="J25"/>
      <c r="K25"/>
    </row>
    <row r="26" spans="1:12" s="528" customFormat="1" ht="25.5">
      <c r="A26" s="792" t="s">
        <v>702</v>
      </c>
      <c r="B26" s="793" t="s">
        <v>703</v>
      </c>
      <c r="C26" s="794" t="s">
        <v>417</v>
      </c>
      <c r="D26" s="794" t="s">
        <v>704</v>
      </c>
      <c r="E26" s="794" t="s">
        <v>136</v>
      </c>
      <c r="F26" s="794" t="s">
        <v>705</v>
      </c>
      <c r="G26" s="1091" t="s">
        <v>706</v>
      </c>
      <c r="H26" s="1080" t="s">
        <v>999</v>
      </c>
      <c r="I26" s="1081" t="s">
        <v>1000</v>
      </c>
      <c r="J26"/>
      <c r="K26"/>
      <c r="L26" s="3"/>
    </row>
    <row r="27" spans="1:12" s="797" customFormat="1">
      <c r="A27" s="795"/>
      <c r="B27" s="796" t="s">
        <v>707</v>
      </c>
      <c r="C27" s="790" t="s">
        <v>708</v>
      </c>
      <c r="D27" s="790" t="s">
        <v>709</v>
      </c>
      <c r="E27" s="790" t="s">
        <v>710</v>
      </c>
      <c r="F27" s="790" t="s">
        <v>711</v>
      </c>
      <c r="G27" s="1092" t="s">
        <v>712</v>
      </c>
      <c r="H27" s="1071" t="s">
        <v>1001</v>
      </c>
      <c r="I27" s="1072" t="s">
        <v>1002</v>
      </c>
      <c r="J27"/>
      <c r="K27"/>
      <c r="L27" s="3"/>
    </row>
    <row r="28" spans="1:12" s="797" customFormat="1" ht="44.25" customHeight="1">
      <c r="A28" s="795"/>
      <c r="B28" s="796" t="s">
        <v>713</v>
      </c>
      <c r="C28" s="798" t="s">
        <v>180</v>
      </c>
      <c r="D28" s="798" t="str">
        <f>"Company Records (Included in total in Column "&amp;C27&amp;")"</f>
        <v>Company Records (Included in total in Column (d))</v>
      </c>
      <c r="E28" s="798" t="s">
        <v>8</v>
      </c>
      <c r="F28" s="798" t="str">
        <f>"Company Records (Included in total in Column "&amp;E27&amp;")"</f>
        <v>Company Records (Included in total in Column (h))</v>
      </c>
      <c r="G28" s="798" t="s">
        <v>302</v>
      </c>
      <c r="H28" s="1073" t="s">
        <v>1005</v>
      </c>
      <c r="I28" s="1074" t="s">
        <v>1006</v>
      </c>
      <c r="J28"/>
      <c r="K28"/>
      <c r="L28" s="3"/>
    </row>
    <row r="29" spans="1:12">
      <c r="A29" s="795">
        <f>+A23+1</f>
        <v>15</v>
      </c>
      <c r="B29" s="799" t="s">
        <v>714</v>
      </c>
      <c r="C29" s="850">
        <v>22108695.329999994</v>
      </c>
      <c r="D29" s="850"/>
      <c r="E29" s="850">
        <v>3289004.5200000005</v>
      </c>
      <c r="F29" s="850"/>
      <c r="G29" s="850">
        <v>1013750.4</v>
      </c>
      <c r="H29" s="1075"/>
      <c r="I29" s="1082"/>
      <c r="J29"/>
      <c r="K29"/>
    </row>
    <row r="30" spans="1:12">
      <c r="A30" s="795">
        <f>+A29+1</f>
        <v>16</v>
      </c>
      <c r="B30" s="799" t="s">
        <v>576</v>
      </c>
      <c r="C30" s="850">
        <v>22404837.25</v>
      </c>
      <c r="D30" s="850"/>
      <c r="E30" s="850">
        <v>4413732.3099999996</v>
      </c>
      <c r="F30" s="850"/>
      <c r="G30" s="850">
        <v>0</v>
      </c>
      <c r="H30" s="1075"/>
      <c r="I30" s="1076"/>
      <c r="J30"/>
      <c r="K30"/>
    </row>
    <row r="31" spans="1:12">
      <c r="A31" s="795">
        <f t="shared" ref="A31:A42" si="2">+A30+1</f>
        <v>17</v>
      </c>
      <c r="B31" s="800" t="s">
        <v>577</v>
      </c>
      <c r="C31" s="850">
        <v>22708741.779999997</v>
      </c>
      <c r="D31" s="850"/>
      <c r="E31" s="850">
        <v>4518172.51</v>
      </c>
      <c r="F31" s="850"/>
      <c r="G31" s="850">
        <v>0</v>
      </c>
      <c r="H31" s="1075"/>
      <c r="I31" s="1076"/>
      <c r="J31"/>
      <c r="K31"/>
    </row>
    <row r="32" spans="1:12">
      <c r="A32" s="795">
        <f t="shared" si="2"/>
        <v>18</v>
      </c>
      <c r="B32" s="800" t="s">
        <v>715</v>
      </c>
      <c r="C32" s="850">
        <v>31944315.969999999</v>
      </c>
      <c r="D32" s="850"/>
      <c r="E32" s="850">
        <v>4596591.82</v>
      </c>
      <c r="F32" s="850"/>
      <c r="G32" s="850">
        <v>0</v>
      </c>
      <c r="H32" s="1075"/>
      <c r="I32" s="1076"/>
      <c r="J32"/>
      <c r="K32"/>
    </row>
    <row r="33" spans="1:11">
      <c r="A33" s="795">
        <f t="shared" si="2"/>
        <v>19</v>
      </c>
      <c r="B33" s="800" t="s">
        <v>579</v>
      </c>
      <c r="C33" s="850">
        <v>32248376.700000003</v>
      </c>
      <c r="D33" s="850"/>
      <c r="E33" s="850">
        <v>4702334.91</v>
      </c>
      <c r="F33" s="850"/>
      <c r="G33" s="850">
        <v>0</v>
      </c>
      <c r="H33" s="1075"/>
      <c r="I33" s="1076"/>
      <c r="J33"/>
      <c r="K33"/>
    </row>
    <row r="34" spans="1:11">
      <c r="A34" s="795">
        <f t="shared" si="2"/>
        <v>20</v>
      </c>
      <c r="B34" s="800" t="s">
        <v>580</v>
      </c>
      <c r="C34" s="850">
        <v>32546749.729999997</v>
      </c>
      <c r="D34" s="850"/>
      <c r="E34" s="850">
        <v>4808192.6900000004</v>
      </c>
      <c r="F34" s="850"/>
      <c r="G34" s="850">
        <v>0</v>
      </c>
      <c r="H34" s="1075"/>
      <c r="I34" s="1076"/>
      <c r="J34"/>
      <c r="K34"/>
    </row>
    <row r="35" spans="1:11">
      <c r="A35" s="795">
        <f t="shared" si="2"/>
        <v>21</v>
      </c>
      <c r="B35" s="800" t="s">
        <v>581</v>
      </c>
      <c r="C35" s="850">
        <v>32878452.689999998</v>
      </c>
      <c r="D35" s="850"/>
      <c r="E35" s="850">
        <v>4861064.1800000006</v>
      </c>
      <c r="F35" s="850"/>
      <c r="G35" s="850">
        <v>0</v>
      </c>
      <c r="H35" s="1075"/>
      <c r="I35" s="1076"/>
      <c r="J35"/>
      <c r="K35"/>
    </row>
    <row r="36" spans="1:11">
      <c r="A36" s="795">
        <f t="shared" si="2"/>
        <v>22</v>
      </c>
      <c r="B36" s="800" t="s">
        <v>582</v>
      </c>
      <c r="C36" s="850">
        <v>33184418.009999998</v>
      </c>
      <c r="D36" s="850"/>
      <c r="E36" s="850">
        <v>4964577.4100000011</v>
      </c>
      <c r="F36" s="850"/>
      <c r="G36" s="850">
        <v>0</v>
      </c>
      <c r="H36" s="1075"/>
      <c r="I36" s="1076"/>
      <c r="J36"/>
      <c r="K36"/>
    </row>
    <row r="37" spans="1:11">
      <c r="A37" s="795">
        <f t="shared" si="2"/>
        <v>23</v>
      </c>
      <c r="B37" s="800" t="s">
        <v>716</v>
      </c>
      <c r="C37" s="850">
        <v>33483884.719999991</v>
      </c>
      <c r="D37" s="850"/>
      <c r="E37" s="850">
        <v>5068265.51</v>
      </c>
      <c r="F37" s="850"/>
      <c r="G37" s="850">
        <v>0</v>
      </c>
      <c r="H37" s="1075"/>
      <c r="I37" s="1076"/>
      <c r="J37"/>
      <c r="K37"/>
    </row>
    <row r="38" spans="1:11">
      <c r="A38" s="795">
        <f t="shared" si="2"/>
        <v>24</v>
      </c>
      <c r="B38" s="800" t="s">
        <v>584</v>
      </c>
      <c r="C38" s="850">
        <v>33801889.120000005</v>
      </c>
      <c r="D38" s="850"/>
      <c r="E38" s="850">
        <v>5000272.5500000007</v>
      </c>
      <c r="F38" s="850"/>
      <c r="G38" s="850">
        <v>0</v>
      </c>
      <c r="H38" s="1075"/>
      <c r="I38" s="1076"/>
      <c r="J38"/>
      <c r="K38"/>
    </row>
    <row r="39" spans="1:11">
      <c r="A39" s="795">
        <f t="shared" si="2"/>
        <v>25</v>
      </c>
      <c r="B39" s="800" t="s">
        <v>585</v>
      </c>
      <c r="C39" s="850">
        <v>34085990.289999999</v>
      </c>
      <c r="D39" s="850"/>
      <c r="E39" s="850">
        <v>5101517.8</v>
      </c>
      <c r="F39" s="850"/>
      <c r="G39" s="850">
        <v>0</v>
      </c>
      <c r="H39" s="1075"/>
      <c r="I39" s="1076"/>
      <c r="J39"/>
      <c r="K39"/>
    </row>
    <row r="40" spans="1:11">
      <c r="A40" s="795">
        <f t="shared" si="2"/>
        <v>26</v>
      </c>
      <c r="B40" s="800" t="s">
        <v>586</v>
      </c>
      <c r="C40" s="850">
        <v>34359595.899999999</v>
      </c>
      <c r="D40" s="850"/>
      <c r="E40" s="850">
        <v>5203095.3099999996</v>
      </c>
      <c r="F40" s="850"/>
      <c r="G40" s="850">
        <v>0</v>
      </c>
      <c r="H40" s="1075"/>
      <c r="I40" s="1076"/>
      <c r="J40"/>
      <c r="K40"/>
    </row>
    <row r="41" spans="1:11">
      <c r="A41" s="801">
        <f t="shared" si="2"/>
        <v>27</v>
      </c>
      <c r="B41" s="802" t="s">
        <v>717</v>
      </c>
      <c r="C41" s="850">
        <v>34545885.600000001</v>
      </c>
      <c r="D41" s="850"/>
      <c r="E41" s="850">
        <v>5204982.040000001</v>
      </c>
      <c r="F41" s="850"/>
      <c r="G41" s="850">
        <v>0</v>
      </c>
      <c r="H41" s="1075"/>
      <c r="I41" s="1076"/>
      <c r="J41"/>
      <c r="K41"/>
    </row>
    <row r="42" spans="1:11" ht="13.5" thickBot="1">
      <c r="A42" s="808">
        <f t="shared" si="2"/>
        <v>28</v>
      </c>
      <c r="B42" s="809" t="s">
        <v>718</v>
      </c>
      <c r="C42" s="804">
        <f>SUM(C29:C41)/13</f>
        <v>30792448.699230768</v>
      </c>
      <c r="D42" s="804">
        <f>SUM(D29:D41)/13</f>
        <v>0</v>
      </c>
      <c r="E42" s="804">
        <f>SUM(E29:E41)/13</f>
        <v>4748600.2738461532</v>
      </c>
      <c r="F42" s="804">
        <f>SUM(F29:F41)/13</f>
        <v>0</v>
      </c>
      <c r="G42" s="804">
        <f>SUM(G29:G41)/13</f>
        <v>77980.800000000003</v>
      </c>
      <c r="H42" s="1078">
        <f t="shared" ref="H42:I42" si="3">SUM(H29:H41)/13</f>
        <v>0</v>
      </c>
      <c r="I42" s="1079">
        <f t="shared" si="3"/>
        <v>0</v>
      </c>
      <c r="J42"/>
      <c r="K42"/>
    </row>
    <row r="43" spans="1:11" ht="13.5" thickTop="1">
      <c r="A43" s="47"/>
      <c r="B43" s="805"/>
      <c r="C43" s="806"/>
      <c r="D43" s="807"/>
      <c r="E43" s="807"/>
      <c r="F43" s="807"/>
      <c r="G43" s="806"/>
      <c r="H43"/>
      <c r="I43"/>
      <c r="J43"/>
      <c r="K43"/>
    </row>
    <row r="44" spans="1:11">
      <c r="A44" s="47"/>
      <c r="B44" s="805"/>
      <c r="C44" s="806"/>
      <c r="D44" s="807"/>
      <c r="E44" s="807"/>
      <c r="F44" s="807"/>
      <c r="G44" s="806"/>
      <c r="H44" s="806"/>
      <c r="I44" s="806"/>
    </row>
    <row r="45" spans="1:11">
      <c r="A45" s="810"/>
      <c r="B45" s="811"/>
      <c r="C45" s="812"/>
      <c r="D45" s="813"/>
      <c r="E45" s="813"/>
      <c r="F45" s="813"/>
      <c r="G45" s="1083"/>
      <c r="H45" s="1084"/>
    </row>
    <row r="46" spans="1:11" ht="72" customHeight="1">
      <c r="A46" s="814" t="s">
        <v>702</v>
      </c>
      <c r="B46" s="790" t="s">
        <v>703</v>
      </c>
      <c r="C46" s="815" t="s">
        <v>721</v>
      </c>
      <c r="D46" s="794" t="s">
        <v>722</v>
      </c>
      <c r="E46" s="794" t="s">
        <v>723</v>
      </c>
      <c r="F46" s="794" t="s">
        <v>724</v>
      </c>
      <c r="G46" s="1069" t="s">
        <v>1007</v>
      </c>
      <c r="H46" s="1070" t="s">
        <v>1008</v>
      </c>
    </row>
    <row r="47" spans="1:11" s="797" customFormat="1">
      <c r="A47" s="795"/>
      <c r="B47" s="790" t="s">
        <v>707</v>
      </c>
      <c r="C47" s="816" t="s">
        <v>725</v>
      </c>
      <c r="D47" s="790" t="s">
        <v>726</v>
      </c>
      <c r="E47" s="790" t="s">
        <v>708</v>
      </c>
      <c r="F47" s="790" t="s">
        <v>709</v>
      </c>
      <c r="G47" s="1071" t="s">
        <v>746</v>
      </c>
      <c r="H47" s="1072" t="s">
        <v>754</v>
      </c>
    </row>
    <row r="48" spans="1:11" s="797" customFormat="1" ht="51">
      <c r="A48" s="795"/>
      <c r="B48" s="796" t="s">
        <v>713</v>
      </c>
      <c r="C48" s="818" t="str">
        <f>"Company Records (included in total in column "&amp;C8&amp;" of gross plant above)"</f>
        <v>Company Records (included in total in column (d) of gross plant above)</v>
      </c>
      <c r="D48" s="817" t="str">
        <f>"Company Records (included in total in column "&amp;C27&amp;" of accumulated depreciation above)"</f>
        <v>Company Records (included in total in column (d) of accumulated depreciation above)</v>
      </c>
      <c r="E48" s="818" t="s">
        <v>720</v>
      </c>
      <c r="F48" s="818" t="s">
        <v>720</v>
      </c>
      <c r="G48" s="1085" t="s">
        <v>720</v>
      </c>
      <c r="H48" s="1086" t="s">
        <v>720</v>
      </c>
    </row>
    <row r="49" spans="1:9">
      <c r="A49" s="795">
        <f>+A42+1</f>
        <v>29</v>
      </c>
      <c r="B49" s="799" t="s">
        <v>714</v>
      </c>
      <c r="C49" s="850">
        <v>0</v>
      </c>
      <c r="D49" s="850">
        <v>0</v>
      </c>
      <c r="E49" s="850">
        <v>0</v>
      </c>
      <c r="F49" s="1093">
        <v>0</v>
      </c>
      <c r="G49" s="1087"/>
      <c r="H49" s="1088"/>
    </row>
    <row r="50" spans="1:9">
      <c r="A50" s="795">
        <f>+A49+1</f>
        <v>30</v>
      </c>
      <c r="B50" s="799" t="s">
        <v>576</v>
      </c>
      <c r="C50" s="850">
        <v>0</v>
      </c>
      <c r="D50" s="850">
        <v>0</v>
      </c>
      <c r="E50" s="850">
        <v>0</v>
      </c>
      <c r="F50" s="1094">
        <v>0</v>
      </c>
      <c r="G50" s="1087"/>
      <c r="H50" s="1089"/>
    </row>
    <row r="51" spans="1:9">
      <c r="A51" s="795">
        <f t="shared" ref="A51:A62" si="4">+A50+1</f>
        <v>31</v>
      </c>
      <c r="B51" s="800" t="s">
        <v>577</v>
      </c>
      <c r="C51" s="850">
        <v>0</v>
      </c>
      <c r="D51" s="850">
        <v>0</v>
      </c>
      <c r="E51" s="850">
        <v>0</v>
      </c>
      <c r="F51" s="1094">
        <v>0</v>
      </c>
      <c r="G51" s="1087"/>
      <c r="H51" s="1089"/>
    </row>
    <row r="52" spans="1:9">
      <c r="A52" s="795">
        <f t="shared" si="4"/>
        <v>32</v>
      </c>
      <c r="B52" s="800" t="s">
        <v>715</v>
      </c>
      <c r="C52" s="850">
        <v>0</v>
      </c>
      <c r="D52" s="850">
        <v>0</v>
      </c>
      <c r="E52" s="850">
        <v>0</v>
      </c>
      <c r="F52" s="1094">
        <v>0</v>
      </c>
      <c r="G52" s="1087"/>
      <c r="H52" s="1089"/>
    </row>
    <row r="53" spans="1:9">
      <c r="A53" s="795">
        <f t="shared" si="4"/>
        <v>33</v>
      </c>
      <c r="B53" s="800" t="s">
        <v>579</v>
      </c>
      <c r="C53" s="850">
        <v>0</v>
      </c>
      <c r="D53" s="850">
        <v>0</v>
      </c>
      <c r="E53" s="850">
        <v>0</v>
      </c>
      <c r="F53" s="1094">
        <v>0</v>
      </c>
      <c r="G53" s="1087"/>
      <c r="H53" s="1089"/>
    </row>
    <row r="54" spans="1:9">
      <c r="A54" s="795">
        <f t="shared" si="4"/>
        <v>34</v>
      </c>
      <c r="B54" s="800" t="s">
        <v>580</v>
      </c>
      <c r="C54" s="850">
        <v>0</v>
      </c>
      <c r="D54" s="850">
        <v>0</v>
      </c>
      <c r="E54" s="850">
        <v>0</v>
      </c>
      <c r="F54" s="1094">
        <v>0</v>
      </c>
      <c r="G54" s="1087"/>
      <c r="H54" s="1089"/>
    </row>
    <row r="55" spans="1:9">
      <c r="A55" s="795">
        <f t="shared" si="4"/>
        <v>35</v>
      </c>
      <c r="B55" s="800" t="s">
        <v>581</v>
      </c>
      <c r="C55" s="850">
        <v>0</v>
      </c>
      <c r="D55" s="850">
        <v>0</v>
      </c>
      <c r="E55" s="850">
        <v>0</v>
      </c>
      <c r="F55" s="1094">
        <v>0</v>
      </c>
      <c r="G55" s="1087"/>
      <c r="H55" s="1089"/>
    </row>
    <row r="56" spans="1:9">
      <c r="A56" s="795">
        <f t="shared" si="4"/>
        <v>36</v>
      </c>
      <c r="B56" s="800" t="s">
        <v>582</v>
      </c>
      <c r="C56" s="850">
        <v>0</v>
      </c>
      <c r="D56" s="850">
        <v>0</v>
      </c>
      <c r="E56" s="850">
        <v>0</v>
      </c>
      <c r="F56" s="1094">
        <v>0</v>
      </c>
      <c r="G56" s="1087"/>
      <c r="H56" s="1089"/>
    </row>
    <row r="57" spans="1:9">
      <c r="A57" s="795">
        <f t="shared" si="4"/>
        <v>37</v>
      </c>
      <c r="B57" s="800" t="s">
        <v>716</v>
      </c>
      <c r="C57" s="850">
        <v>0</v>
      </c>
      <c r="D57" s="850">
        <v>0</v>
      </c>
      <c r="E57" s="850">
        <v>0</v>
      </c>
      <c r="F57" s="1094">
        <v>0</v>
      </c>
      <c r="G57" s="1087"/>
      <c r="H57" s="1089"/>
    </row>
    <row r="58" spans="1:9">
      <c r="A58" s="795">
        <f t="shared" si="4"/>
        <v>38</v>
      </c>
      <c r="B58" s="800" t="s">
        <v>584</v>
      </c>
      <c r="C58" s="850">
        <v>0</v>
      </c>
      <c r="D58" s="850">
        <v>0</v>
      </c>
      <c r="E58" s="850">
        <v>0</v>
      </c>
      <c r="F58" s="1094">
        <v>0</v>
      </c>
      <c r="G58" s="1087"/>
      <c r="H58" s="1089"/>
    </row>
    <row r="59" spans="1:9">
      <c r="A59" s="795">
        <f t="shared" si="4"/>
        <v>39</v>
      </c>
      <c r="B59" s="800" t="s">
        <v>585</v>
      </c>
      <c r="C59" s="850">
        <v>0</v>
      </c>
      <c r="D59" s="850">
        <v>0</v>
      </c>
      <c r="E59" s="850">
        <v>0</v>
      </c>
      <c r="F59" s="1094">
        <v>0</v>
      </c>
      <c r="G59" s="1087"/>
      <c r="H59" s="1089"/>
    </row>
    <row r="60" spans="1:9">
      <c r="A60" s="795">
        <f t="shared" si="4"/>
        <v>40</v>
      </c>
      <c r="B60" s="800" t="s">
        <v>586</v>
      </c>
      <c r="C60" s="850">
        <v>0</v>
      </c>
      <c r="D60" s="850">
        <v>0</v>
      </c>
      <c r="E60" s="850">
        <v>0</v>
      </c>
      <c r="F60" s="1094">
        <v>0</v>
      </c>
      <c r="G60" s="1087"/>
      <c r="H60" s="1089"/>
    </row>
    <row r="61" spans="1:9">
      <c r="A61" s="801">
        <f t="shared" si="4"/>
        <v>41</v>
      </c>
      <c r="B61" s="802" t="s">
        <v>717</v>
      </c>
      <c r="C61" s="850">
        <v>0</v>
      </c>
      <c r="D61" s="850">
        <v>0</v>
      </c>
      <c r="E61" s="850">
        <v>0</v>
      </c>
      <c r="F61" s="1095">
        <v>0</v>
      </c>
      <c r="G61" s="1087"/>
      <c r="H61" s="1090"/>
    </row>
    <row r="62" spans="1:9" ht="13.5" thickBot="1">
      <c r="A62" s="819">
        <f t="shared" si="4"/>
        <v>42</v>
      </c>
      <c r="B62" s="809" t="s">
        <v>718</v>
      </c>
      <c r="C62" s="804">
        <f>SUM(C49:C61)/13</f>
        <v>0</v>
      </c>
      <c r="D62" s="804">
        <f>SUM(D49:D61)/13</f>
        <v>0</v>
      </c>
      <c r="E62" s="804">
        <f>SUM(E49:E61)/13</f>
        <v>0</v>
      </c>
      <c r="F62" s="804">
        <f>SUM(F49:F61)/13</f>
        <v>0</v>
      </c>
      <c r="G62" s="1078">
        <f t="shared" ref="G62:H62" si="5">SUM(G49:G61)/13</f>
        <v>0</v>
      </c>
      <c r="H62" s="1079">
        <f t="shared" si="5"/>
        <v>0</v>
      </c>
    </row>
    <row r="63" spans="1:9" ht="13.5" thickTop="1">
      <c r="A63" s="47"/>
      <c r="B63" s="805"/>
      <c r="I63" s="807"/>
    </row>
    <row r="64" spans="1:9">
      <c r="A64" s="47">
        <v>43</v>
      </c>
      <c r="B64" s="805" t="s">
        <v>727</v>
      </c>
      <c r="C64" s="510">
        <f>+C42-C62</f>
        <v>30792448.699230768</v>
      </c>
      <c r="I64" s="807"/>
    </row>
    <row r="65" spans="1:6" customFormat="1"/>
    <row r="66" spans="1:6" customFormat="1"/>
    <row r="67" spans="1:6" customFormat="1" ht="25.5">
      <c r="A67" s="822" t="s">
        <v>330</v>
      </c>
      <c r="B67" s="303"/>
      <c r="C67" s="823" t="s">
        <v>328</v>
      </c>
      <c r="D67" s="824" t="str">
        <f>"Balance @ December 31, "&amp;TCOS!L4&amp;""</f>
        <v>Balance @ December 31, 2025</v>
      </c>
      <c r="E67" s="825" t="str">
        <f>"Balance @ December 31, "&amp;TCOS!L4-1&amp;""</f>
        <v>Balance @ December 31, 2024</v>
      </c>
      <c r="F67" s="825" t="str">
        <f>"Average Balance for "&amp;TCOS!L4&amp;""</f>
        <v>Average Balance for 2025</v>
      </c>
    </row>
    <row r="68" spans="1:6" customFormat="1">
      <c r="A68" s="826"/>
      <c r="B68" s="790" t="s">
        <v>707</v>
      </c>
      <c r="C68" s="790" t="s">
        <v>725</v>
      </c>
      <c r="D68" s="790" t="s">
        <v>726</v>
      </c>
      <c r="E68" s="790" t="s">
        <v>708</v>
      </c>
      <c r="F68" s="790" t="s">
        <v>709</v>
      </c>
    </row>
    <row r="69" spans="1:6" customFormat="1">
      <c r="A69" s="303">
        <f>+A64+1</f>
        <v>44</v>
      </c>
      <c r="B69" s="826" t="s">
        <v>330</v>
      </c>
      <c r="C69" s="307" t="s">
        <v>177</v>
      </c>
      <c r="D69" s="312">
        <v>0</v>
      </c>
      <c r="E69" s="312">
        <v>0</v>
      </c>
      <c r="F69" s="827">
        <f>IF(E69="",0,AVERAGE(D69:E69))</f>
        <v>0</v>
      </c>
    </row>
    <row r="70" spans="1:6" customFormat="1">
      <c r="A70" s="306"/>
      <c r="B70" s="302"/>
      <c r="C70" s="302"/>
      <c r="F70" s="828"/>
    </row>
    <row r="71" spans="1:6" customFormat="1">
      <c r="A71" s="303">
        <f>+A69+1</f>
        <v>45</v>
      </c>
      <c r="B71" s="826" t="s">
        <v>778</v>
      </c>
      <c r="C71" s="829" t="s">
        <v>334</v>
      </c>
      <c r="D71" s="312">
        <v>0</v>
      </c>
      <c r="E71" s="312">
        <v>0</v>
      </c>
      <c r="F71" s="827">
        <f>IF(E71="",0,AVERAGE(D71:E71))</f>
        <v>0</v>
      </c>
    </row>
    <row r="72" spans="1:6" customFormat="1">
      <c r="A72" s="3"/>
      <c r="B72" s="3"/>
      <c r="C72" s="3"/>
      <c r="D72" s="3"/>
    </row>
    <row r="73" spans="1:6" customFormat="1">
      <c r="A73" s="826" t="s">
        <v>21</v>
      </c>
      <c r="B73" s="3"/>
      <c r="C73" s="3"/>
      <c r="D73" s="3"/>
    </row>
    <row r="74" spans="1:6" customFormat="1">
      <c r="A74" s="302"/>
      <c r="B74" s="302" t="s">
        <v>163</v>
      </c>
      <c r="C74" s="302"/>
      <c r="D74" s="302"/>
      <c r="E74" s="302"/>
      <c r="F74" s="302"/>
    </row>
    <row r="75" spans="1:6" customFormat="1">
      <c r="A75" s="303">
        <f>+A71+1</f>
        <v>46</v>
      </c>
      <c r="B75" s="954">
        <v>0</v>
      </c>
      <c r="C75" s="954">
        <v>0</v>
      </c>
      <c r="D75" s="955">
        <v>0</v>
      </c>
      <c r="E75" s="312">
        <v>0</v>
      </c>
      <c r="F75" s="827">
        <f>IF(E75="",0,AVERAGE(D75:E75))</f>
        <v>0</v>
      </c>
    </row>
    <row r="76" spans="1:6" customFormat="1">
      <c r="A76" s="303">
        <f>+A75+1</f>
        <v>47</v>
      </c>
      <c r="B76" s="954">
        <v>0</v>
      </c>
      <c r="C76" s="954">
        <v>0</v>
      </c>
      <c r="D76" s="955">
        <v>0</v>
      </c>
      <c r="E76" s="312">
        <v>0</v>
      </c>
      <c r="F76" s="827">
        <f>IF(E76="",0,AVERAGE(D76:E76))</f>
        <v>0</v>
      </c>
    </row>
    <row r="77" spans="1:6" customFormat="1">
      <c r="A77" s="303">
        <f>+A76+1</f>
        <v>48</v>
      </c>
      <c r="B77" s="954">
        <v>0</v>
      </c>
      <c r="C77" s="954">
        <v>0</v>
      </c>
      <c r="D77" s="955">
        <v>0</v>
      </c>
      <c r="E77" s="312">
        <v>0</v>
      </c>
      <c r="F77" s="827">
        <f>IF(E77="",0,AVERAGE(D77:E77))</f>
        <v>0</v>
      </c>
    </row>
    <row r="78" spans="1:6" customFormat="1">
      <c r="A78" s="303">
        <f>+A77+1</f>
        <v>49</v>
      </c>
      <c r="B78" s="954">
        <v>0</v>
      </c>
      <c r="C78" s="954">
        <v>0</v>
      </c>
      <c r="D78" s="955">
        <v>0</v>
      </c>
      <c r="E78" s="312">
        <v>0</v>
      </c>
      <c r="F78" s="827">
        <f>IF(E78="",0,AVERAGE(D78:E78))</f>
        <v>0</v>
      </c>
    </row>
    <row r="79" spans="1:6" customFormat="1">
      <c r="A79" s="303">
        <f>+A78+1</f>
        <v>50</v>
      </c>
      <c r="B79" s="954">
        <v>0</v>
      </c>
      <c r="C79" s="954">
        <v>0</v>
      </c>
      <c r="D79" s="956">
        <v>0</v>
      </c>
      <c r="E79" s="830">
        <v>0</v>
      </c>
      <c r="F79" s="831">
        <f>IF(E79="",0,AVERAGE(D79:E79))</f>
        <v>0</v>
      </c>
    </row>
    <row r="80" spans="1:6" customFormat="1" ht="18" customHeight="1">
      <c r="A80" s="303">
        <f>+A79+1</f>
        <v>51</v>
      </c>
      <c r="B80" s="302" t="s">
        <v>728</v>
      </c>
      <c r="C80" s="302"/>
      <c r="D80" s="832">
        <f>SUM(D75:D79)</f>
        <v>0</v>
      </c>
      <c r="E80" s="832">
        <f>SUM(E75:E79)</f>
        <v>0</v>
      </c>
      <c r="F80" s="832">
        <f>SUM(F75:F79)</f>
        <v>0</v>
      </c>
    </row>
    <row r="81" spans="1:6" customFormat="1" ht="17.25" customHeight="1">
      <c r="A81" s="303"/>
      <c r="B81" s="302"/>
      <c r="C81" s="302"/>
      <c r="D81" s="832"/>
      <c r="E81" s="832"/>
      <c r="F81" s="832"/>
    </row>
    <row r="82" spans="1:6" customFormat="1" ht="18.75" customHeight="1">
      <c r="A82" s="826" t="s">
        <v>729</v>
      </c>
      <c r="B82" s="833"/>
      <c r="C82" s="833"/>
      <c r="D82" s="833"/>
      <c r="E82" s="302"/>
      <c r="F82" s="302"/>
    </row>
    <row r="83" spans="1:6" customFormat="1" ht="31.5" customHeight="1">
      <c r="A83" s="303"/>
      <c r="B83" s="14"/>
      <c r="C83" s="357"/>
      <c r="D83" s="4"/>
      <c r="E83" s="302"/>
      <c r="F83" s="302"/>
    </row>
    <row r="84" spans="1:6" customFormat="1" ht="21.75" customHeight="1">
      <c r="A84" s="303">
        <f>+A80+1</f>
        <v>52</v>
      </c>
      <c r="B84" s="304" t="s">
        <v>467</v>
      </c>
      <c r="C84" s="304" t="s">
        <v>110</v>
      </c>
      <c r="D84" s="3"/>
      <c r="F84" s="304"/>
    </row>
    <row r="85" spans="1:6" customFormat="1" ht="14.25">
      <c r="A85" s="47" t="s">
        <v>730</v>
      </c>
      <c r="B85" s="957">
        <v>0</v>
      </c>
      <c r="C85" s="958">
        <v>0</v>
      </c>
      <c r="D85" s="955">
        <v>0</v>
      </c>
      <c r="E85" s="955">
        <v>0</v>
      </c>
      <c r="F85" s="834">
        <f>IF(E85="",0,AVERAGE(D85:E85))</f>
        <v>0</v>
      </c>
    </row>
    <row r="86" spans="1:6" customFormat="1" ht="14.25">
      <c r="A86" s="47" t="s">
        <v>731</v>
      </c>
      <c r="B86" s="955">
        <v>0</v>
      </c>
      <c r="C86" s="958">
        <v>0</v>
      </c>
      <c r="D86" s="955">
        <v>0</v>
      </c>
      <c r="E86" s="955">
        <v>0</v>
      </c>
      <c r="F86" s="835">
        <f>IF(E86="",0,AVERAGE(D86:E86))</f>
        <v>0</v>
      </c>
    </row>
    <row r="87" spans="1:6" customFormat="1" ht="18" customHeight="1">
      <c r="A87" s="1">
        <f>A84+2</f>
        <v>54</v>
      </c>
      <c r="C87" s="3" t="s">
        <v>420</v>
      </c>
      <c r="D87" s="510">
        <f>SUM(D85:D86)</f>
        <v>0</v>
      </c>
      <c r="E87" s="510">
        <f>SUM(E85:E86)</f>
        <v>0</v>
      </c>
      <c r="F87" s="510">
        <f>SUM(F85:F86)</f>
        <v>0</v>
      </c>
    </row>
    <row r="88" spans="1:6" customFormat="1">
      <c r="A88" s="303"/>
      <c r="B88" s="302"/>
      <c r="C88" s="302"/>
      <c r="D88" s="302"/>
    </row>
    <row r="89" spans="1:6">
      <c r="A89" s="310" t="s">
        <v>732</v>
      </c>
      <c r="B89" s="302"/>
      <c r="C89" s="302"/>
      <c r="D89" s="302"/>
    </row>
    <row r="90" spans="1:6">
      <c r="A90" s="310" t="s">
        <v>733</v>
      </c>
      <c r="B90" s="302"/>
      <c r="C90" s="302"/>
      <c r="D90" s="302"/>
    </row>
  </sheetData>
  <mergeCells count="6">
    <mergeCell ref="C25:I25"/>
    <mergeCell ref="A1:G1"/>
    <mergeCell ref="A2:G2"/>
    <mergeCell ref="A3:G3"/>
    <mergeCell ref="A4:G4"/>
    <mergeCell ref="C6:I6"/>
  </mergeCells>
  <pageMargins left="0.7" right="0.7" top="0.75" bottom="0.75" header="0.3" footer="0.3"/>
  <pageSetup scale="69"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U34"/>
  <sheetViews>
    <sheetView tabSelected="1" zoomScale="81" zoomScaleNormal="81" workbookViewId="0">
      <selection activeCell="B7" sqref="B7"/>
    </sheetView>
  </sheetViews>
  <sheetFormatPr defaultRowHeight="12.75"/>
  <cols>
    <col min="2" max="2" width="11.85546875" customWidth="1"/>
    <col min="3" max="3" width="1" customWidth="1"/>
    <col min="8" max="8" width="1.7109375" customWidth="1"/>
    <col min="9" max="9" width="9.85546875" customWidth="1"/>
    <col min="10" max="10" width="1.7109375" customWidth="1"/>
    <col min="11" max="11" width="12.5703125" customWidth="1"/>
    <col min="12" max="12" width="1.7109375" customWidth="1"/>
    <col min="13" max="13" width="13.7109375" customWidth="1"/>
    <col min="14" max="14" width="1.140625" customWidth="1"/>
    <col min="15" max="15" width="14.85546875" customWidth="1"/>
    <col min="16" max="16" width="1.140625" customWidth="1"/>
    <col min="17" max="17" width="12.7109375" customWidth="1"/>
    <col min="18" max="18" width="1.28515625" customWidth="1"/>
    <col min="19" max="19" width="17.5703125" customWidth="1"/>
    <col min="20" max="20" width="1.140625" customWidth="1"/>
    <col min="21" max="21" width="13" customWidth="1"/>
  </cols>
  <sheetData>
    <row r="1" spans="1:21" ht="15.75">
      <c r="A1" s="744" t="s">
        <v>416</v>
      </c>
    </row>
    <row r="2" spans="1:21" ht="15.75">
      <c r="A2" s="744" t="s">
        <v>416</v>
      </c>
    </row>
    <row r="3" spans="1:21" ht="18">
      <c r="A3" s="1187" t="str">
        <f>TCOS!$F$5</f>
        <v>AEPTCo subsidiaries in PJM</v>
      </c>
      <c r="B3" s="1187" t="str">
        <f>TCOS!$F$5</f>
        <v>AEPTCo subsidiaries in PJM</v>
      </c>
      <c r="C3" s="1187" t="str">
        <f>TCOS!$F$5</f>
        <v>AEPTCo subsidiaries in PJM</v>
      </c>
      <c r="D3" s="1187" t="str">
        <f>TCOS!$F$5</f>
        <v>AEPTCo subsidiaries in PJM</v>
      </c>
      <c r="E3" s="1187" t="str">
        <f>TCOS!$F$5</f>
        <v>AEPTCo subsidiaries in PJM</v>
      </c>
      <c r="F3" s="1187" t="str">
        <f>TCOS!$F$5</f>
        <v>AEPTCo subsidiaries in PJM</v>
      </c>
      <c r="G3" s="1187" t="str">
        <f>TCOS!$F$5</f>
        <v>AEPTCo subsidiaries in PJM</v>
      </c>
      <c r="H3" s="1187" t="str">
        <f>TCOS!$F$5</f>
        <v>AEPTCo subsidiaries in PJM</v>
      </c>
      <c r="I3" s="1187" t="str">
        <f>TCOS!$F$5</f>
        <v>AEPTCo subsidiaries in PJM</v>
      </c>
      <c r="J3" s="1187" t="str">
        <f>TCOS!$F$5</f>
        <v>AEPTCo subsidiaries in PJM</v>
      </c>
      <c r="K3" s="1187" t="str">
        <f>TCOS!$F$5</f>
        <v>AEPTCo subsidiaries in PJM</v>
      </c>
      <c r="L3" s="1187" t="str">
        <f>TCOS!$F$5</f>
        <v>AEPTCo subsidiaries in PJM</v>
      </c>
      <c r="M3" s="1187" t="str">
        <f>TCOS!$F$5</f>
        <v>AEPTCo subsidiaries in PJM</v>
      </c>
      <c r="N3" s="1187" t="str">
        <f>TCOS!$F$5</f>
        <v>AEPTCo subsidiaries in PJM</v>
      </c>
      <c r="O3" s="1187" t="str">
        <f>TCOS!$F$5</f>
        <v>AEPTCo subsidiaries in PJM</v>
      </c>
    </row>
    <row r="4" spans="1:21" ht="18">
      <c r="A4" s="1186" t="str">
        <f>"Cost of Service Formula Rate Using Actual/Projected FF1 Balances"</f>
        <v>Cost of Service Formula Rate Using Actual/Projected FF1 Balances</v>
      </c>
      <c r="B4" s="1186"/>
      <c r="C4" s="1186"/>
      <c r="D4" s="1186"/>
      <c r="E4" s="1186"/>
      <c r="F4" s="1186"/>
      <c r="G4" s="1186"/>
      <c r="H4" s="1186"/>
      <c r="I4" s="1186"/>
      <c r="J4" s="1186"/>
      <c r="K4" s="1186"/>
      <c r="L4" s="1186"/>
      <c r="M4" s="1186"/>
      <c r="N4" s="1186"/>
      <c r="O4" s="1186"/>
    </row>
    <row r="5" spans="1:21" ht="18">
      <c r="A5" s="1186" t="s">
        <v>24</v>
      </c>
      <c r="B5" s="1186"/>
      <c r="C5" s="1186"/>
      <c r="D5" s="1186"/>
      <c r="E5" s="1186"/>
      <c r="F5" s="1186"/>
      <c r="G5" s="1186"/>
      <c r="H5" s="1186"/>
      <c r="I5" s="1186"/>
      <c r="J5" s="1186"/>
      <c r="K5" s="1186"/>
      <c r="L5" s="1186"/>
      <c r="M5" s="1186"/>
      <c r="N5" s="1186"/>
      <c r="O5" s="1186"/>
    </row>
    <row r="6" spans="1:21" ht="18">
      <c r="A6" s="1179" t="str">
        <f>+TCOS!F9</f>
        <v>AEP Kentucky Transmission Company</v>
      </c>
      <c r="B6" s="1179"/>
      <c r="C6" s="1179"/>
      <c r="D6" s="1179"/>
      <c r="E6" s="1179"/>
      <c r="F6" s="1179"/>
      <c r="G6" s="1179"/>
      <c r="H6" s="1179"/>
      <c r="I6" s="1179"/>
      <c r="J6" s="1179"/>
      <c r="K6" s="1179"/>
      <c r="L6" s="1179"/>
      <c r="M6" s="1179"/>
      <c r="N6" s="1179"/>
      <c r="O6" s="1179"/>
    </row>
    <row r="7" spans="1:21" ht="12.75" customHeight="1">
      <c r="A7" s="67"/>
      <c r="B7" s="67"/>
      <c r="C7" s="67"/>
      <c r="D7" s="67"/>
      <c r="E7" s="67"/>
      <c r="F7" s="67"/>
      <c r="G7" s="67"/>
      <c r="H7" s="67"/>
      <c r="I7" s="67"/>
      <c r="J7" s="67"/>
      <c r="K7" s="67"/>
      <c r="L7" s="67"/>
    </row>
    <row r="8" spans="1:21" ht="12.75" customHeight="1">
      <c r="A8" s="1214" t="s">
        <v>16</v>
      </c>
      <c r="B8" s="1214"/>
      <c r="C8" s="1214"/>
      <c r="D8" s="1214"/>
      <c r="E8" s="1214"/>
      <c r="F8" s="1214"/>
      <c r="G8" s="1214"/>
      <c r="H8" s="1214"/>
      <c r="I8" s="1214"/>
      <c r="J8" s="1214"/>
      <c r="K8" s="1214"/>
      <c r="L8" s="1214"/>
      <c r="M8" s="1214"/>
      <c r="N8" s="1214"/>
      <c r="O8" s="1214"/>
    </row>
    <row r="9" spans="1:21" ht="12.75" customHeight="1">
      <c r="A9" s="1214"/>
      <c r="B9" s="1214"/>
      <c r="C9" s="1214"/>
      <c r="D9" s="1214"/>
      <c r="E9" s="1214"/>
      <c r="F9" s="1214"/>
      <c r="G9" s="1214"/>
      <c r="H9" s="1214"/>
      <c r="I9" s="1214"/>
      <c r="J9" s="1214"/>
      <c r="K9" s="1214"/>
      <c r="L9" s="1214"/>
      <c r="M9" s="1214"/>
      <c r="N9" s="1214"/>
      <c r="O9" s="1214"/>
    </row>
    <row r="10" spans="1:21">
      <c r="A10" s="1214"/>
      <c r="B10" s="1214"/>
      <c r="C10" s="1214"/>
      <c r="D10" s="1214"/>
      <c r="E10" s="1214"/>
      <c r="F10" s="1214"/>
      <c r="G10" s="1214"/>
      <c r="H10" s="1214"/>
      <c r="I10" s="1214"/>
      <c r="J10" s="1214"/>
      <c r="K10" s="1214"/>
      <c r="L10" s="1214"/>
      <c r="M10" s="1214"/>
      <c r="N10" s="1214"/>
      <c r="O10" s="1214"/>
    </row>
    <row r="11" spans="1:21">
      <c r="A11" s="1214"/>
      <c r="B11" s="1214"/>
      <c r="C11" s="1214"/>
      <c r="D11" s="1214"/>
      <c r="E11" s="1214"/>
      <c r="F11" s="1214"/>
      <c r="G11" s="1214"/>
      <c r="H11" s="1214"/>
      <c r="I11" s="1214"/>
      <c r="J11" s="1214"/>
      <c r="K11" s="1214"/>
      <c r="L11" s="1214"/>
      <c r="M11" s="1214"/>
      <c r="N11" s="1214"/>
      <c r="O11" s="1214"/>
    </row>
    <row r="12" spans="1:21">
      <c r="B12" s="1" t="s">
        <v>462</v>
      </c>
      <c r="C12" s="1"/>
      <c r="D12" s="1127" t="s">
        <v>463</v>
      </c>
      <c r="E12" s="1127"/>
      <c r="F12" s="1127"/>
      <c r="G12" s="1127"/>
      <c r="H12" s="1"/>
      <c r="I12" s="1" t="s">
        <v>331</v>
      </c>
      <c r="J12" s="1"/>
      <c r="K12" s="1" t="s">
        <v>465</v>
      </c>
      <c r="L12" s="1"/>
      <c r="M12" s="1" t="s">
        <v>385</v>
      </c>
      <c r="N12" s="1"/>
      <c r="O12" s="1" t="s">
        <v>386</v>
      </c>
      <c r="P12" s="1"/>
      <c r="Q12" s="1" t="s">
        <v>357</v>
      </c>
      <c r="R12" s="1"/>
      <c r="S12" s="1" t="s">
        <v>392</v>
      </c>
      <c r="U12" s="47" t="s">
        <v>296</v>
      </c>
    </row>
    <row r="13" spans="1:21">
      <c r="I13" s="1212" t="s">
        <v>355</v>
      </c>
      <c r="Q13" s="1211" t="s">
        <v>356</v>
      </c>
      <c r="S13" s="1212" t="s">
        <v>358</v>
      </c>
      <c r="U13" s="111" t="s">
        <v>273</v>
      </c>
    </row>
    <row r="14" spans="1:21">
      <c r="A14" s="70" t="s">
        <v>354</v>
      </c>
      <c r="B14" s="70" t="s">
        <v>350</v>
      </c>
      <c r="C14" s="70"/>
      <c r="D14" s="86" t="s">
        <v>351</v>
      </c>
      <c r="E14" s="70"/>
      <c r="F14" s="70"/>
      <c r="G14" s="70"/>
      <c r="H14" s="70"/>
      <c r="I14" s="1192"/>
      <c r="J14" s="70"/>
      <c r="K14" s="70" t="s">
        <v>352</v>
      </c>
      <c r="L14" s="70"/>
      <c r="M14" s="70" t="s">
        <v>353</v>
      </c>
      <c r="N14" s="70"/>
      <c r="O14" s="70" t="s">
        <v>290</v>
      </c>
      <c r="Q14" s="1211"/>
      <c r="S14" s="1212"/>
      <c r="U14" s="111" t="s">
        <v>110</v>
      </c>
    </row>
    <row r="15" spans="1:21">
      <c r="A15" s="70"/>
      <c r="B15" s="70"/>
      <c r="C15" s="70"/>
      <c r="D15" s="86"/>
      <c r="E15" s="70"/>
      <c r="F15" s="70"/>
      <c r="G15" s="70"/>
      <c r="H15" s="70"/>
      <c r="I15" t="s">
        <v>288</v>
      </c>
      <c r="J15" s="70"/>
      <c r="K15" s="70"/>
      <c r="L15" s="70"/>
      <c r="M15" s="70"/>
      <c r="N15" s="70"/>
      <c r="O15" s="70"/>
      <c r="Q15" s="94"/>
      <c r="S15" s="70" t="s">
        <v>290</v>
      </c>
    </row>
    <row r="16" spans="1:21">
      <c r="I16" t="s">
        <v>289</v>
      </c>
    </row>
    <row r="17" spans="1:21">
      <c r="A17" s="1">
        <v>1</v>
      </c>
      <c r="B17" s="612"/>
      <c r="D17" s="1213"/>
      <c r="E17" s="1213"/>
      <c r="F17" s="1213"/>
      <c r="G17" s="1213"/>
      <c r="I17" s="613"/>
      <c r="K17" s="611"/>
      <c r="L17" s="62"/>
      <c r="M17" s="611"/>
      <c r="O17" s="74">
        <f>+K17-M17</f>
        <v>0</v>
      </c>
      <c r="Q17" s="88">
        <f>IF(I17="G",TCOS!L235,IF(I17="T",1,0))</f>
        <v>0</v>
      </c>
      <c r="S17" s="74">
        <f>ROUND(O17*Q17,0)</f>
        <v>0</v>
      </c>
      <c r="U17" s="614"/>
    </row>
    <row r="18" spans="1:21">
      <c r="A18" s="1"/>
      <c r="D18" s="1213"/>
      <c r="E18" s="1213"/>
      <c r="F18" s="1213"/>
      <c r="G18" s="1213"/>
      <c r="K18" s="62"/>
      <c r="L18" s="62"/>
      <c r="M18" s="62"/>
      <c r="O18" s="62"/>
      <c r="Q18" s="88"/>
      <c r="S18" s="62"/>
    </row>
    <row r="19" spans="1:21">
      <c r="A19" s="1"/>
      <c r="D19" s="1213"/>
      <c r="E19" s="1213"/>
      <c r="F19" s="1213"/>
      <c r="G19" s="1213"/>
      <c r="K19" s="62"/>
      <c r="L19" s="62"/>
      <c r="M19" s="62"/>
      <c r="O19" s="62"/>
      <c r="Q19" s="88"/>
      <c r="S19" s="62"/>
    </row>
    <row r="20" spans="1:21">
      <c r="A20" s="1"/>
      <c r="K20" s="62"/>
      <c r="L20" s="62"/>
      <c r="M20" s="62"/>
      <c r="O20" s="62"/>
      <c r="Q20" s="88"/>
      <c r="S20" s="62"/>
    </row>
    <row r="21" spans="1:21">
      <c r="A21" s="1"/>
      <c r="K21" s="62"/>
      <c r="L21" s="62"/>
      <c r="M21" s="62"/>
      <c r="O21" s="62"/>
      <c r="Q21" s="88"/>
      <c r="S21" s="62"/>
    </row>
    <row r="22" spans="1:21" ht="12" customHeight="1">
      <c r="A22" s="1">
        <f>+A17+1</f>
        <v>2</v>
      </c>
      <c r="B22" s="612"/>
      <c r="D22" s="1213"/>
      <c r="E22" s="1213"/>
      <c r="F22" s="1213"/>
      <c r="G22" s="1213"/>
      <c r="I22" s="613"/>
      <c r="K22" s="611"/>
      <c r="L22" s="62"/>
      <c r="M22" s="611"/>
      <c r="O22" s="74">
        <f>+K22-M22</f>
        <v>0</v>
      </c>
      <c r="Q22" s="88">
        <f>IF(I22="G",TCOS!L235,IF(I22="T",1,0))</f>
        <v>0</v>
      </c>
      <c r="S22" s="74">
        <f>ROUND(O22*Q22,0)</f>
        <v>0</v>
      </c>
      <c r="U22" s="614"/>
    </row>
    <row r="23" spans="1:21">
      <c r="A23" s="1"/>
      <c r="D23" s="1213"/>
      <c r="E23" s="1213"/>
      <c r="F23" s="1213"/>
      <c r="G23" s="1213"/>
      <c r="K23" s="62"/>
      <c r="L23" s="62"/>
      <c r="M23" s="62"/>
      <c r="O23" s="62"/>
      <c r="Q23" s="88"/>
      <c r="S23" s="62"/>
    </row>
    <row r="24" spans="1:21">
      <c r="A24" s="1"/>
      <c r="D24" s="1213"/>
      <c r="E24" s="1213"/>
      <c r="F24" s="1213"/>
      <c r="G24" s="1213"/>
      <c r="K24" s="62"/>
      <c r="L24" s="62"/>
      <c r="M24" s="62"/>
      <c r="O24" s="62"/>
      <c r="Q24" s="88"/>
      <c r="S24" s="62"/>
    </row>
    <row r="25" spans="1:21">
      <c r="A25" s="1"/>
      <c r="I25" s="1"/>
      <c r="K25" s="62"/>
      <c r="L25" s="62"/>
      <c r="M25" s="62"/>
      <c r="O25" s="62"/>
      <c r="Q25" s="88"/>
      <c r="S25" s="62"/>
    </row>
    <row r="26" spans="1:21">
      <c r="A26" s="1"/>
      <c r="I26" s="1"/>
      <c r="K26" s="62"/>
      <c r="L26" s="62"/>
      <c r="M26" s="62"/>
      <c r="O26" s="62"/>
      <c r="Q26" s="88"/>
      <c r="S26" s="62"/>
    </row>
    <row r="27" spans="1:21">
      <c r="A27" s="1">
        <f>+A22+1</f>
        <v>3</v>
      </c>
      <c r="B27" s="612"/>
      <c r="D27" s="1213"/>
      <c r="E27" s="1213"/>
      <c r="F27" s="1213"/>
      <c r="G27" s="1213"/>
      <c r="I27" s="613"/>
      <c r="K27" s="611"/>
      <c r="L27" s="62"/>
      <c r="M27" s="611"/>
      <c r="O27" s="74">
        <f>+K27-M27</f>
        <v>0</v>
      </c>
      <c r="Q27" s="88">
        <f>IF(I27="G",TCOS!L235,IF(I27="T",1,0))</f>
        <v>0</v>
      </c>
      <c r="S27" s="74">
        <f>ROUND(O27*Q27,0)</f>
        <v>0</v>
      </c>
      <c r="U27" s="614"/>
    </row>
    <row r="28" spans="1:21">
      <c r="A28" s="1"/>
      <c r="D28" s="1213"/>
      <c r="E28" s="1213"/>
      <c r="F28" s="1213"/>
      <c r="G28" s="1213"/>
      <c r="K28" s="62"/>
      <c r="L28" s="62"/>
      <c r="M28" s="62"/>
      <c r="O28" s="62"/>
      <c r="Q28" s="88"/>
      <c r="S28" s="62"/>
    </row>
    <row r="29" spans="1:21">
      <c r="A29" s="1"/>
      <c r="D29" s="1213"/>
      <c r="E29" s="1213"/>
      <c r="F29" s="1213"/>
      <c r="G29" s="1213"/>
      <c r="K29" s="62"/>
      <c r="L29" s="62"/>
      <c r="M29" s="62"/>
      <c r="O29" s="62"/>
      <c r="Q29" s="88"/>
    </row>
    <row r="30" spans="1:21">
      <c r="A30" s="1"/>
      <c r="O30" s="62"/>
      <c r="Q30" s="88"/>
    </row>
    <row r="31" spans="1:21">
      <c r="A31" s="1"/>
      <c r="O31" s="62"/>
      <c r="Q31" s="88"/>
    </row>
    <row r="32" spans="1:21">
      <c r="A32" s="1"/>
      <c r="O32" s="62"/>
      <c r="Q32" s="88"/>
    </row>
    <row r="33" spans="1:19" ht="13.5" thickBot="1">
      <c r="A33" s="1">
        <f>+A27+1</f>
        <v>4</v>
      </c>
      <c r="K33" t="str">
        <f>"Net (Gain) or Loss for "&amp;TCOS!O3&amp;""</f>
        <v xml:space="preserve">Net (Gain) or Loss for  </v>
      </c>
      <c r="O33" s="92">
        <f>SUM(O17:O27)</f>
        <v>0</v>
      </c>
      <c r="Q33" s="93"/>
      <c r="S33" s="92">
        <f>SUM(S17:S27)</f>
        <v>0</v>
      </c>
    </row>
    <row r="34" spans="1:19" ht="13.5" thickTop="1">
      <c r="A34" s="1"/>
      <c r="O34" s="62"/>
      <c r="Q34" s="93"/>
    </row>
  </sheetData>
  <mergeCells count="12">
    <mergeCell ref="A3:O3"/>
    <mergeCell ref="A4:O4"/>
    <mergeCell ref="A5:O5"/>
    <mergeCell ref="I13:I14"/>
    <mergeCell ref="D12:G12"/>
    <mergeCell ref="A6:O6"/>
    <mergeCell ref="A8:O11"/>
    <mergeCell ref="Q13:Q14"/>
    <mergeCell ref="S13:S14"/>
    <mergeCell ref="D17:G19"/>
    <mergeCell ref="D22:G24"/>
    <mergeCell ref="D27:G29"/>
  </mergeCells>
  <phoneticPr fontId="89" type="noConversion"/>
  <pageMargins left="0.75" right="0.75" top="1" bottom="1" header="0.75" footer="0.5"/>
  <pageSetup scale="76" orientation="landscape" r:id="rId1"/>
  <headerFooter alignWithMargins="0">
    <oddHeader>&amp;R&amp;"Arial,Bold"Formula Rate 
&amp;A
Page &amp;P of &amp;N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F37"/>
  <sheetViews>
    <sheetView tabSelected="1" view="pageBreakPreview" zoomScale="90" zoomScaleNormal="80" zoomScaleSheetLayoutView="90" workbookViewId="0">
      <selection activeCell="B7" sqref="B7"/>
    </sheetView>
  </sheetViews>
  <sheetFormatPr defaultColWidth="11.42578125" defaultRowHeight="12.75"/>
  <cols>
    <col min="1" max="1" width="37.85546875" style="926" customWidth="1"/>
    <col min="2" max="2" width="25.42578125" style="926" customWidth="1"/>
    <col min="3" max="3" width="53.42578125" style="926" customWidth="1"/>
    <col min="4" max="4" width="18.42578125" style="926" customWidth="1"/>
    <col min="5" max="5" width="11.42578125" style="926" customWidth="1"/>
    <col min="6" max="6" width="13.7109375" style="926" bestFit="1" customWidth="1"/>
    <col min="7" max="16384" width="11.42578125" style="926"/>
  </cols>
  <sheetData>
    <row r="1" spans="1:6" ht="15.75">
      <c r="A1" s="925" t="s">
        <v>416</v>
      </c>
    </row>
    <row r="2" spans="1:6" ht="15.75">
      <c r="A2" s="925" t="s">
        <v>416</v>
      </c>
    </row>
    <row r="3" spans="1:6" ht="15.75">
      <c r="A3" s="1216" t="str">
        <f>TCOS!F5</f>
        <v>AEPTCo subsidiaries in PJM</v>
      </c>
      <c r="B3" s="1216" t="s">
        <v>329</v>
      </c>
      <c r="C3" s="1216" t="s">
        <v>329</v>
      </c>
      <c r="D3" s="1216" t="s">
        <v>329</v>
      </c>
    </row>
    <row r="4" spans="1:6" ht="15.75">
      <c r="A4" s="1216" t="str">
        <f>"Cost of Service Formula Rate Using Actual/Projected FF1 Balances"</f>
        <v>Cost of Service Formula Rate Using Actual/Projected FF1 Balances</v>
      </c>
      <c r="B4" s="1216"/>
      <c r="C4" s="1216"/>
      <c r="D4" s="1216"/>
    </row>
    <row r="5" spans="1:6" ht="15.75">
      <c r="A5" s="1216" t="s">
        <v>779</v>
      </c>
      <c r="B5" s="1216"/>
      <c r="C5" s="1216"/>
      <c r="D5" s="1216"/>
    </row>
    <row r="6" spans="1:6" ht="15.75">
      <c r="A6" s="1216" t="s">
        <v>780</v>
      </c>
      <c r="B6" s="1216"/>
      <c r="C6" s="1216"/>
      <c r="D6" s="1216"/>
    </row>
    <row r="7" spans="1:6" ht="15.75">
      <c r="A7" s="1217" t="str">
        <f>TCOS!F9</f>
        <v>AEP Kentucky Transmission Company</v>
      </c>
      <c r="B7" s="1217"/>
      <c r="C7" s="1217"/>
      <c r="D7" s="1217"/>
    </row>
    <row r="8" spans="1:6" ht="15.75">
      <c r="A8" s="928"/>
      <c r="B8" s="929"/>
      <c r="C8" s="929"/>
      <c r="D8" s="929"/>
    </row>
    <row r="9" spans="1:6" ht="15.75">
      <c r="A9" s="930"/>
      <c r="B9" s="931"/>
      <c r="C9" s="931"/>
      <c r="D9" s="931"/>
    </row>
    <row r="10" spans="1:6" ht="15.75">
      <c r="A10" s="932"/>
      <c r="B10" s="932"/>
      <c r="C10" s="932"/>
      <c r="D10" s="932"/>
    </row>
    <row r="11" spans="1:6" ht="15.75">
      <c r="A11" s="931" t="s">
        <v>781</v>
      </c>
      <c r="B11" s="931" t="s">
        <v>462</v>
      </c>
      <c r="C11" s="933"/>
      <c r="D11" s="931" t="s">
        <v>463</v>
      </c>
    </row>
    <row r="12" spans="1:6" ht="15.75">
      <c r="A12" s="927">
        <f>1</f>
        <v>1</v>
      </c>
      <c r="B12" s="934" t="s">
        <v>782</v>
      </c>
      <c r="C12" s="933"/>
      <c r="D12" s="927"/>
    </row>
    <row r="13" spans="1:6" ht="15.75">
      <c r="A13" s="927"/>
      <c r="B13" s="934"/>
      <c r="C13" s="933"/>
      <c r="D13" s="927"/>
    </row>
    <row r="14" spans="1:6" ht="15.75">
      <c r="A14" s="927"/>
      <c r="B14" s="933"/>
      <c r="C14" s="933"/>
      <c r="D14" s="933"/>
    </row>
    <row r="15" spans="1:6" ht="15.75">
      <c r="A15" s="927">
        <f>A12+1</f>
        <v>2</v>
      </c>
      <c r="B15" s="935" t="s">
        <v>783</v>
      </c>
      <c r="C15" s="936"/>
      <c r="D15" s="937"/>
    </row>
    <row r="16" spans="1:6" ht="15.75">
      <c r="A16" s="927">
        <f t="shared" ref="A16:A23" si="0">+A15+1</f>
        <v>3</v>
      </c>
      <c r="B16" s="938" t="s">
        <v>784</v>
      </c>
      <c r="C16" s="938"/>
      <c r="D16" s="1064">
        <f>-1533762-77456993</f>
        <v>-78990755</v>
      </c>
      <c r="F16" s="939"/>
    </row>
    <row r="17" spans="1:6" ht="15.75">
      <c r="A17" s="927">
        <f t="shared" si="0"/>
        <v>4</v>
      </c>
      <c r="B17" s="938" t="s">
        <v>785</v>
      </c>
      <c r="C17" s="938"/>
      <c r="D17" s="940">
        <v>0</v>
      </c>
      <c r="F17" s="939"/>
    </row>
    <row r="18" spans="1:6" ht="15.75">
      <c r="A18" s="927">
        <f t="shared" si="0"/>
        <v>5</v>
      </c>
      <c r="B18" s="938" t="s">
        <v>786</v>
      </c>
      <c r="C18" s="938"/>
      <c r="D18" s="940">
        <f>+D16-D17</f>
        <v>-78990755</v>
      </c>
    </row>
    <row r="19" spans="1:6" ht="15.75">
      <c r="A19" s="927">
        <f t="shared" si="0"/>
        <v>6</v>
      </c>
      <c r="B19" s="938" t="s">
        <v>787</v>
      </c>
      <c r="C19" s="938"/>
      <c r="D19" s="1064">
        <v>1688246267.799989</v>
      </c>
    </row>
    <row r="20" spans="1:6" ht="15.75">
      <c r="A20" s="927">
        <f t="shared" si="0"/>
        <v>7</v>
      </c>
      <c r="B20" s="938" t="s">
        <v>788</v>
      </c>
      <c r="C20" s="938"/>
      <c r="D20" s="941">
        <f>+D18/D19</f>
        <v>-4.6788644824274091E-2</v>
      </c>
    </row>
    <row r="21" spans="1:6" ht="15.75">
      <c r="A21" s="927">
        <f t="shared" si="0"/>
        <v>8</v>
      </c>
      <c r="B21" s="938" t="s">
        <v>789</v>
      </c>
      <c r="C21" s="938"/>
      <c r="D21" s="967">
        <v>-4.2999999999999997E-2</v>
      </c>
      <c r="E21" s="942"/>
    </row>
    <row r="22" spans="1:6" ht="15.75">
      <c r="A22" s="927">
        <f t="shared" si="0"/>
        <v>9</v>
      </c>
      <c r="B22" s="938" t="s">
        <v>790</v>
      </c>
      <c r="C22" s="938"/>
      <c r="D22" s="943">
        <v>473677.08356197935</v>
      </c>
    </row>
    <row r="23" spans="1:6" ht="15.75">
      <c r="A23" s="927">
        <f t="shared" si="0"/>
        <v>10</v>
      </c>
      <c r="B23" s="938" t="str">
        <f>"Allowable TransCo PBOP Expense for current year (Ln "&amp;A21&amp;" * Ln "&amp;A22&amp;")"</f>
        <v>Allowable TransCo PBOP Expense for current year (Ln 8 * Ln 9)</v>
      </c>
      <c r="C23" s="938"/>
      <c r="D23" s="944">
        <f>+D21*D22</f>
        <v>-20368.114593165112</v>
      </c>
    </row>
    <row r="24" spans="1:6" ht="15.75">
      <c r="A24" s="927"/>
      <c r="B24" s="938"/>
      <c r="C24" s="938"/>
      <c r="D24" s="944"/>
    </row>
    <row r="25" spans="1:6" ht="15.75">
      <c r="A25" s="927"/>
      <c r="B25" s="938"/>
      <c r="C25" s="938"/>
      <c r="D25" s="944"/>
    </row>
    <row r="26" spans="1:6" ht="15.75">
      <c r="A26" s="927">
        <f>+A23+1</f>
        <v>11</v>
      </c>
      <c r="B26" s="945" t="s">
        <v>791</v>
      </c>
      <c r="C26" s="938"/>
      <c r="D26" s="946">
        <v>0</v>
      </c>
    </row>
    <row r="27" spans="1:6" ht="15.75">
      <c r="A27" s="927">
        <f>+A26+1</f>
        <v>12</v>
      </c>
      <c r="B27" s="938" t="s">
        <v>792</v>
      </c>
      <c r="C27" s="938"/>
      <c r="D27" s="946">
        <v>0</v>
      </c>
    </row>
    <row r="28" spans="1:6" ht="15.75">
      <c r="A28" s="927">
        <f>+A27+1</f>
        <v>13</v>
      </c>
      <c r="B28" s="938" t="s">
        <v>793</v>
      </c>
      <c r="C28" s="938"/>
      <c r="D28" s="946">
        <v>0</v>
      </c>
    </row>
    <row r="29" spans="1:6" ht="16.5" thickBot="1">
      <c r="A29" s="947">
        <f>+A28+1</f>
        <v>14</v>
      </c>
      <c r="B29" s="948" t="s">
        <v>794</v>
      </c>
      <c r="C29" s="949"/>
      <c r="D29" s="950">
        <v>-17185.266281551285</v>
      </c>
    </row>
    <row r="30" spans="1:6" ht="15.75">
      <c r="A30" s="927">
        <f>+A29+1</f>
        <v>15</v>
      </c>
      <c r="B30" s="933" t="s">
        <v>795</v>
      </c>
      <c r="C30" s="933" t="str">
        <f>"(Sum Lines "&amp;A26&amp;"-"&amp;A29&amp;")"</f>
        <v>(Sum Lines 11-14)</v>
      </c>
      <c r="D30" s="951">
        <f>SUM(D26:D29)</f>
        <v>-17185.266281551285</v>
      </c>
    </row>
    <row r="31" spans="1:6" ht="15.75">
      <c r="A31" s="927"/>
      <c r="B31" s="933"/>
      <c r="C31" s="933"/>
      <c r="D31" s="951"/>
    </row>
    <row r="32" spans="1:6" ht="15.75">
      <c r="A32" s="927"/>
      <c r="B32" s="933"/>
      <c r="C32" s="933"/>
      <c r="D32" s="951"/>
    </row>
    <row r="33" spans="1:4" ht="15.75">
      <c r="A33" s="927">
        <f>A30+1</f>
        <v>16</v>
      </c>
      <c r="B33" s="933" t="s">
        <v>796</v>
      </c>
      <c r="C33" s="933" t="str">
        <f>"Line "&amp;A23&amp;" less Line "&amp;A30&amp;""</f>
        <v>Line 10 less Line 15</v>
      </c>
      <c r="D33" s="952">
        <f>D23-D30</f>
        <v>-3182.8483116138268</v>
      </c>
    </row>
    <row r="34" spans="1:4" ht="15.75">
      <c r="A34" s="927"/>
      <c r="B34" s="933"/>
      <c r="C34" s="933"/>
      <c r="D34" s="952"/>
    </row>
    <row r="35" spans="1:4" ht="15.75">
      <c r="A35" s="938" t="s">
        <v>797</v>
      </c>
    </row>
    <row r="37" spans="1:4" ht="387.75" customHeight="1">
      <c r="A37" s="1215" t="s">
        <v>798</v>
      </c>
      <c r="B37" s="1215"/>
      <c r="C37" s="1215"/>
      <c r="D37" s="1215"/>
    </row>
  </sheetData>
  <mergeCells count="6">
    <mergeCell ref="A37:D37"/>
    <mergeCell ref="A3:D3"/>
    <mergeCell ref="A4:D4"/>
    <mergeCell ref="A5:D5"/>
    <mergeCell ref="A6:D6"/>
    <mergeCell ref="A7:D7"/>
  </mergeCells>
  <pageMargins left="0.25" right="0.33" top="0.78" bottom="0.43" header="0.5" footer="0.21"/>
  <pageSetup scale="68" fitToHeight="0" orientation="portrait" r:id="rId1"/>
  <headerFooter alignWithMargins="0">
    <oddHeader>&amp;R
&amp;A&amp;"Arial,Bold"
&amp;"Arial,Regular"Page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codeName="Sheet21">
    <pageSetUpPr fitToPage="1"/>
  </sheetPr>
  <dimension ref="A1:G37"/>
  <sheetViews>
    <sheetView tabSelected="1" defaultGridColor="0" view="pageBreakPreview" colorId="22" zoomScale="60" zoomScaleNormal="70" workbookViewId="0">
      <selection activeCell="B7" sqref="B7"/>
    </sheetView>
  </sheetViews>
  <sheetFormatPr defaultColWidth="14.7109375" defaultRowHeight="15"/>
  <cols>
    <col min="1" max="1" width="5.7109375" style="616" customWidth="1"/>
    <col min="2" max="2" width="42.5703125" style="616" customWidth="1"/>
    <col min="3" max="3" width="16.28515625" style="616" bestFit="1" customWidth="1"/>
    <col min="4" max="4" width="16.85546875" style="616" customWidth="1"/>
    <col min="5" max="5" width="18" style="616" customWidth="1"/>
    <col min="6" max="7" width="16.28515625" style="616" bestFit="1" customWidth="1"/>
    <col min="8" max="8" width="14.7109375" style="616" customWidth="1"/>
    <col min="9" max="16384" width="14.7109375" style="616"/>
  </cols>
  <sheetData>
    <row r="1" spans="1:7" ht="15.75">
      <c r="A1" s="744" t="s">
        <v>416</v>
      </c>
    </row>
    <row r="2" spans="1:7" ht="15.75">
      <c r="A2" s="744" t="s">
        <v>416</v>
      </c>
    </row>
    <row r="3" spans="1:7" ht="19.5">
      <c r="B3" s="1220" t="str">
        <f>TCOS!$F$5</f>
        <v>AEPTCo subsidiaries in PJM</v>
      </c>
      <c r="C3" s="1220"/>
      <c r="D3" s="1220"/>
      <c r="E3" s="1220"/>
      <c r="F3" s="615"/>
      <c r="G3" s="615"/>
    </row>
    <row r="4" spans="1:7" ht="19.5">
      <c r="B4" s="1220" t="s">
        <v>224</v>
      </c>
      <c r="C4" s="1220"/>
      <c r="D4" s="1220"/>
      <c r="E4" s="1220"/>
      <c r="F4" s="615"/>
      <c r="G4" s="615"/>
    </row>
    <row r="5" spans="1:7" ht="19.5">
      <c r="B5" s="1220" t="s">
        <v>225</v>
      </c>
      <c r="C5" s="1220"/>
      <c r="D5" s="1220"/>
      <c r="E5" s="1220"/>
      <c r="F5" s="615"/>
      <c r="G5" s="615"/>
    </row>
    <row r="6" spans="1:7" ht="19.5">
      <c r="B6" s="1220" t="s">
        <v>226</v>
      </c>
      <c r="C6" s="1220"/>
      <c r="D6" s="1220"/>
      <c r="E6" s="1220"/>
      <c r="F6" s="615"/>
      <c r="G6" s="615"/>
    </row>
    <row r="7" spans="1:7" ht="19.5">
      <c r="B7" s="1220" t="s">
        <v>809</v>
      </c>
      <c r="C7" s="1220"/>
      <c r="D7" s="1220"/>
      <c r="E7" s="1220"/>
      <c r="F7" s="615"/>
      <c r="G7" s="615"/>
    </row>
    <row r="8" spans="1:7" ht="19.5">
      <c r="B8" s="1220"/>
      <c r="C8" s="1220"/>
      <c r="D8" s="1220"/>
      <c r="E8" s="1220"/>
      <c r="F8" s="615"/>
      <c r="G8" s="615"/>
    </row>
    <row r="9" spans="1:7" ht="19.5">
      <c r="B9" s="1221" t="str">
        <f>TCOS!F9</f>
        <v>AEP Kentucky Transmission Company</v>
      </c>
      <c r="C9" s="1127"/>
      <c r="D9" s="1127"/>
      <c r="E9" s="1127"/>
      <c r="F9" s="615"/>
      <c r="G9" s="615"/>
    </row>
    <row r="11" spans="1:7">
      <c r="B11" s="617"/>
      <c r="C11" s="617"/>
      <c r="D11" s="618"/>
    </row>
    <row r="12" spans="1:7" ht="15" customHeight="1">
      <c r="B12" s="617"/>
      <c r="C12" s="617"/>
      <c r="D12" s="618"/>
    </row>
    <row r="13" spans="1:7" ht="15.75">
      <c r="B13" s="617"/>
      <c r="C13" s="619" t="s">
        <v>33</v>
      </c>
      <c r="D13" s="619" t="s">
        <v>35</v>
      </c>
    </row>
    <row r="14" spans="1:7" ht="16.5" thickBot="1">
      <c r="B14" s="618"/>
      <c r="C14" s="619" t="s">
        <v>34</v>
      </c>
      <c r="D14" s="620" t="s">
        <v>295</v>
      </c>
    </row>
    <row r="15" spans="1:7">
      <c r="B15" s="621" t="s">
        <v>36</v>
      </c>
      <c r="C15" s="622"/>
      <c r="D15" s="104"/>
    </row>
    <row r="16" spans="1:7">
      <c r="B16" s="623"/>
      <c r="C16" s="617"/>
      <c r="D16" s="105"/>
    </row>
    <row r="17" spans="2:5">
      <c r="B17" s="1031" t="s">
        <v>54</v>
      </c>
      <c r="C17" s="1032">
        <v>350.1</v>
      </c>
      <c r="D17" s="112">
        <v>1.44E-2</v>
      </c>
    </row>
    <row r="18" spans="2:5">
      <c r="B18" s="616" t="s">
        <v>37</v>
      </c>
      <c r="C18" s="1032">
        <v>352</v>
      </c>
      <c r="D18" s="112">
        <v>2.0799999999999999E-2</v>
      </c>
      <c r="E18" s="112"/>
    </row>
    <row r="19" spans="2:5">
      <c r="B19" s="616" t="s">
        <v>38</v>
      </c>
      <c r="C19" s="1032">
        <v>353</v>
      </c>
      <c r="D19" s="112">
        <v>2.1499999999999998E-2</v>
      </c>
    </row>
    <row r="20" spans="2:5">
      <c r="B20" s="616" t="s">
        <v>39</v>
      </c>
      <c r="C20" s="1032">
        <v>354</v>
      </c>
      <c r="D20" s="112">
        <v>2.6100000000000002E-2</v>
      </c>
    </row>
    <row r="21" spans="2:5">
      <c r="B21" s="616" t="s">
        <v>40</v>
      </c>
      <c r="C21" s="1032">
        <v>355</v>
      </c>
      <c r="D21" s="112">
        <v>3.95E-2</v>
      </c>
      <c r="E21" s="112"/>
    </row>
    <row r="22" spans="2:5">
      <c r="B22" s="616" t="s">
        <v>41</v>
      </c>
      <c r="C22" s="1032">
        <v>356</v>
      </c>
      <c r="D22" s="112">
        <v>2.9100000000000001E-2</v>
      </c>
      <c r="E22" s="624"/>
    </row>
    <row r="23" spans="2:5">
      <c r="B23" s="616" t="s">
        <v>42</v>
      </c>
      <c r="C23" s="1032">
        <v>357</v>
      </c>
      <c r="D23" s="112">
        <v>2.9899999999999999E-2</v>
      </c>
    </row>
    <row r="24" spans="2:5">
      <c r="B24" s="616" t="s">
        <v>43</v>
      </c>
      <c r="C24" s="1032">
        <v>358</v>
      </c>
      <c r="D24" s="112">
        <v>2.6200000000000001E-2</v>
      </c>
    </row>
    <row r="26" spans="2:5" ht="64.900000000000006" customHeight="1">
      <c r="B26" s="1222" t="s">
        <v>811</v>
      </c>
      <c r="C26" s="1223"/>
      <c r="D26" s="1223"/>
      <c r="E26" s="1223"/>
    </row>
    <row r="27" spans="2:5">
      <c r="B27" s="625"/>
      <c r="C27" s="454"/>
      <c r="D27" s="454"/>
      <c r="E27" s="454"/>
    </row>
    <row r="28" spans="2:5" ht="15.75">
      <c r="B28" s="626" t="s">
        <v>72</v>
      </c>
      <c r="C28" s="627" t="s">
        <v>812</v>
      </c>
      <c r="D28" s="628" t="s">
        <v>547</v>
      </c>
    </row>
    <row r="29" spans="2:5">
      <c r="B29" s="629" t="s">
        <v>546</v>
      </c>
      <c r="C29" s="630">
        <v>438744866</v>
      </c>
      <c r="D29" s="631">
        <f>C29</f>
        <v>438744866</v>
      </c>
    </row>
    <row r="30" spans="2:5">
      <c r="B30" s="629" t="s">
        <v>545</v>
      </c>
      <c r="C30" s="630">
        <v>431804417</v>
      </c>
      <c r="D30" s="631">
        <f>C30</f>
        <v>431804417</v>
      </c>
    </row>
    <row r="31" spans="2:5">
      <c r="B31" s="629" t="s">
        <v>230</v>
      </c>
      <c r="C31" s="630">
        <f>AVERAGE(C29:C30)</f>
        <v>435274641.5</v>
      </c>
      <c r="D31" s="631">
        <f>C31</f>
        <v>435274641.5</v>
      </c>
    </row>
    <row r="32" spans="2:5">
      <c r="B32" s="632" t="s">
        <v>548</v>
      </c>
      <c r="C32" s="630">
        <v>7420678</v>
      </c>
      <c r="D32" s="631">
        <f>C32</f>
        <v>7420678</v>
      </c>
    </row>
    <row r="33" spans="2:5" ht="15.75">
      <c r="B33" s="633" t="s">
        <v>44</v>
      </c>
      <c r="C33" s="634" t="s">
        <v>416</v>
      </c>
      <c r="D33" s="635">
        <f>D32/D31</f>
        <v>1.7048266295568243E-2</v>
      </c>
    </row>
    <row r="35" spans="2:5">
      <c r="B35" s="1218" t="s">
        <v>813</v>
      </c>
      <c r="C35" s="1219"/>
      <c r="D35" s="1219"/>
      <c r="E35" s="1219"/>
    </row>
    <row r="36" spans="2:5">
      <c r="B36" s="1219"/>
      <c r="C36" s="1219"/>
      <c r="D36" s="1219"/>
      <c r="E36" s="1219"/>
    </row>
    <row r="37" spans="2:5" ht="63" customHeight="1">
      <c r="B37" s="1219"/>
      <c r="C37" s="1219"/>
      <c r="D37" s="1219"/>
      <c r="E37" s="1219"/>
    </row>
  </sheetData>
  <mergeCells count="9">
    <mergeCell ref="B35:E37"/>
    <mergeCell ref="B3:E3"/>
    <mergeCell ref="B4:E4"/>
    <mergeCell ref="B5:E5"/>
    <mergeCell ref="B6:E6"/>
    <mergeCell ref="B7:E7"/>
    <mergeCell ref="B8:E8"/>
    <mergeCell ref="B9:E9"/>
    <mergeCell ref="B26:E26"/>
  </mergeCells>
  <phoneticPr fontId="4" type="noConversion"/>
  <conditionalFormatting sqref="B3:B9 H3:IV10 C4:E8 F4:G9 B11:IV11 F12:IV65536 B38:E65536">
    <cfRule type="cellIs" dxfId="2" priority="3" stopIfTrue="1" operator="lessThan">
      <formula>0</formula>
    </cfRule>
  </conditionalFormatting>
  <conditionalFormatting sqref="B17:D24">
    <cfRule type="cellIs" dxfId="1" priority="1" stopIfTrue="1" operator="lessThan">
      <formula>0</formula>
    </cfRule>
  </conditionalFormatting>
  <conditionalFormatting sqref="D12:D13 B12:C16 E12:E25 D15:D16 B26:B32 C28:D33 D34 B34:B35">
    <cfRule type="cellIs" dxfId="0" priority="2" stopIfTrue="1" operator="lessThan">
      <formula>0</formula>
    </cfRule>
  </conditionalFormatting>
  <pageMargins left="0.55000000000000004" right="0.55000000000000004" top="1.25" bottom="0.75" header="0.75" footer="0.27"/>
  <pageSetup scale="81" orientation="portrait" r:id="rId1"/>
  <headerFooter alignWithMargins="0">
    <oddHeader>&amp;RFormula Rate 
&amp;A
Page &amp;P of &amp;N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L238"/>
  <sheetViews>
    <sheetView tabSelected="1" view="pageBreakPreview" zoomScale="75" zoomScaleNormal="75" zoomScaleSheetLayoutView="75" workbookViewId="0">
      <selection activeCell="B7" sqref="B7"/>
    </sheetView>
  </sheetViews>
  <sheetFormatPr defaultRowHeight="12.75"/>
  <cols>
    <col min="1" max="1" width="4.5703125" style="636" customWidth="1"/>
    <col min="2" max="2" width="68.140625" style="636" customWidth="1"/>
    <col min="3" max="3" width="18.140625" style="636" customWidth="1"/>
    <col min="4" max="4" width="2.140625" style="636" customWidth="1"/>
    <col min="5" max="5" width="17.28515625" style="636" customWidth="1"/>
    <col min="6" max="6" width="16.28515625" style="636" customWidth="1"/>
    <col min="7" max="7" width="14.5703125" style="636" customWidth="1"/>
    <col min="8" max="8" width="17.5703125" style="636" customWidth="1"/>
    <col min="9" max="9" width="14.42578125" style="636" customWidth="1"/>
    <col min="10" max="10" width="15.7109375" style="636" customWidth="1"/>
    <col min="11" max="16384" width="9.140625" style="636"/>
  </cols>
  <sheetData>
    <row r="1" spans="1:10" ht="15.75">
      <c r="A1" s="744" t="s">
        <v>416</v>
      </c>
    </row>
    <row r="2" spans="1:10" ht="15.75">
      <c r="A2" s="744" t="s">
        <v>416</v>
      </c>
    </row>
    <row r="3" spans="1:10" ht="39.6" customHeight="1">
      <c r="A3" s="1225" t="s">
        <v>515</v>
      </c>
      <c r="B3" s="1225"/>
      <c r="C3" s="1225"/>
      <c r="D3" s="1225"/>
      <c r="E3" s="1225"/>
      <c r="F3" s="1225"/>
      <c r="G3" s="1225"/>
      <c r="H3" s="1225"/>
      <c r="I3" s="1225"/>
      <c r="J3" s="1225"/>
    </row>
    <row r="4" spans="1:10">
      <c r="A4" s="1225" t="str">
        <f>"Consolidation of Operating Companies' Capital Structure @ December 31, "&amp;TCOS!L4&amp;""</f>
        <v>Consolidation of Operating Companies' Capital Structure @ December 31, 2025</v>
      </c>
      <c r="B4" s="1225"/>
      <c r="C4" s="1225"/>
      <c r="D4" s="1225"/>
      <c r="E4" s="1225"/>
      <c r="F4" s="1225"/>
      <c r="G4" s="1225"/>
      <c r="H4" s="1225"/>
      <c r="I4" s="1225"/>
      <c r="J4" s="1225"/>
    </row>
    <row r="5" spans="1:10">
      <c r="A5" s="1225" t="s">
        <v>256</v>
      </c>
      <c r="B5" s="1225"/>
      <c r="C5" s="1225"/>
      <c r="D5" s="1225"/>
      <c r="E5" s="1225"/>
      <c r="F5" s="1225"/>
      <c r="G5" s="1225"/>
      <c r="H5" s="1225"/>
      <c r="I5" s="1225"/>
      <c r="J5" s="1225"/>
    </row>
    <row r="6" spans="1:10" ht="17.45" customHeight="1"/>
    <row r="7" spans="1:10" ht="76.5">
      <c r="A7" s="636" t="s">
        <v>469</v>
      </c>
      <c r="C7" s="637" t="s">
        <v>516</v>
      </c>
      <c r="D7" s="637"/>
      <c r="E7" s="637" t="s">
        <v>517</v>
      </c>
      <c r="F7" s="637" t="s">
        <v>518</v>
      </c>
      <c r="G7" s="637" t="s">
        <v>519</v>
      </c>
      <c r="H7" s="637" t="s">
        <v>520</v>
      </c>
      <c r="I7" s="637" t="s">
        <v>521</v>
      </c>
      <c r="J7" s="637" t="s">
        <v>522</v>
      </c>
    </row>
    <row r="8" spans="1:10" ht="15">
      <c r="A8" s="607" t="s">
        <v>523</v>
      </c>
    </row>
    <row r="9" spans="1:10">
      <c r="A9" s="636">
        <v>1</v>
      </c>
      <c r="B9" s="75" t="s">
        <v>346</v>
      </c>
      <c r="C9" s="608"/>
      <c r="D9" s="608"/>
      <c r="E9" s="608"/>
      <c r="F9" s="608"/>
      <c r="G9" s="608"/>
      <c r="H9" s="608"/>
      <c r="I9" s="608"/>
      <c r="J9" s="595">
        <f>SUM(C9:I9)</f>
        <v>0</v>
      </c>
    </row>
    <row r="10" spans="1:10">
      <c r="A10" s="636">
        <f>A9+1</f>
        <v>2</v>
      </c>
      <c r="B10" s="75" t="s">
        <v>347</v>
      </c>
      <c r="C10" s="608"/>
      <c r="D10" s="608"/>
      <c r="E10" s="608"/>
      <c r="F10" s="608"/>
      <c r="G10" s="608"/>
      <c r="H10" s="608"/>
      <c r="I10" s="608"/>
      <c r="J10" s="595">
        <f>SUM(C10:I10)</f>
        <v>0</v>
      </c>
    </row>
    <row r="11" spans="1:10">
      <c r="A11" s="636">
        <f>A10+1</f>
        <v>3</v>
      </c>
      <c r="B11" s="14" t="s">
        <v>23</v>
      </c>
      <c r="C11" s="608"/>
      <c r="D11" s="608"/>
      <c r="E11" s="608"/>
      <c r="F11" s="608"/>
      <c r="G11" s="608"/>
      <c r="H11" s="608"/>
      <c r="I11" s="608"/>
      <c r="J11" s="595">
        <f>SUM(C11:I11)</f>
        <v>0</v>
      </c>
    </row>
    <row r="12" spans="1:10">
      <c r="A12" s="636">
        <f>A11+1</f>
        <v>4</v>
      </c>
      <c r="B12" s="14" t="s">
        <v>17</v>
      </c>
      <c r="C12" s="608"/>
      <c r="D12" s="608"/>
      <c r="E12" s="608"/>
      <c r="F12" s="608"/>
      <c r="G12" s="608"/>
      <c r="H12" s="608"/>
      <c r="I12" s="608"/>
      <c r="J12" s="595">
        <f>SUM(C12:I12)</f>
        <v>0</v>
      </c>
    </row>
    <row r="13" spans="1:10">
      <c r="A13" s="636">
        <f>A12+1</f>
        <v>5</v>
      </c>
      <c r="B13" s="14" t="str">
        <f>"Less: Fair Value Hedges (See Note on Ln "&amp;A16&amp;" below)"</f>
        <v>Less: Fair Value Hedges (See Note on Ln 7 below)</v>
      </c>
      <c r="C13" s="119"/>
      <c r="D13" s="119"/>
      <c r="E13" s="119"/>
      <c r="F13" s="119"/>
      <c r="G13" s="119"/>
      <c r="H13" s="119"/>
      <c r="I13" s="119"/>
      <c r="J13" s="638">
        <f>SUM(C13:I13)</f>
        <v>0</v>
      </c>
    </row>
    <row r="14" spans="1:10">
      <c r="A14" s="636">
        <f>A13+1</f>
        <v>6</v>
      </c>
      <c r="B14" s="13" t="s">
        <v>67</v>
      </c>
      <c r="C14" s="639">
        <f t="shared" ref="C14:J14" si="0">C9-C10+C11+C12-C13</f>
        <v>0</v>
      </c>
      <c r="D14" s="639"/>
      <c r="E14" s="639">
        <f t="shared" si="0"/>
        <v>0</v>
      </c>
      <c r="F14" s="639">
        <f t="shared" si="0"/>
        <v>0</v>
      </c>
      <c r="G14" s="639">
        <f t="shared" si="0"/>
        <v>0</v>
      </c>
      <c r="H14" s="639">
        <f t="shared" si="0"/>
        <v>0</v>
      </c>
      <c r="I14" s="639">
        <f t="shared" si="0"/>
        <v>0</v>
      </c>
      <c r="J14" s="639">
        <f t="shared" si="0"/>
        <v>0</v>
      </c>
    </row>
    <row r="16" spans="1:10" ht="12.75" customHeight="1">
      <c r="A16" s="636">
        <f>A14+1</f>
        <v>7</v>
      </c>
      <c r="B16" s="1224" t="s">
        <v>555</v>
      </c>
      <c r="C16" s="1224"/>
      <c r="D16" s="1224"/>
      <c r="E16" s="1224"/>
      <c r="F16" s="1224"/>
      <c r="G16" s="1224"/>
      <c r="H16" s="1224"/>
      <c r="I16" s="1224"/>
      <c r="J16" s="1224"/>
    </row>
    <row r="17" spans="1:10" ht="12.75" customHeight="1">
      <c r="B17" s="640"/>
      <c r="C17" s="640"/>
      <c r="D17" s="640"/>
      <c r="E17" s="640"/>
      <c r="F17" s="640"/>
      <c r="G17" s="640"/>
      <c r="H17" s="640"/>
      <c r="I17" s="640"/>
      <c r="J17" s="640"/>
    </row>
    <row r="18" spans="1:10" ht="15">
      <c r="A18" s="607" t="s">
        <v>524</v>
      </c>
    </row>
    <row r="19" spans="1:10">
      <c r="A19" s="636">
        <f>A16+1</f>
        <v>8</v>
      </c>
      <c r="B19" s="75" t="s">
        <v>348</v>
      </c>
      <c r="C19" s="118"/>
      <c r="D19" s="118"/>
      <c r="E19" s="118"/>
      <c r="F19" s="118"/>
      <c r="G19" s="118"/>
      <c r="H19" s="118"/>
      <c r="I19" s="118"/>
      <c r="J19" s="349">
        <f t="shared" ref="J19:J24" si="1">SUM(C19:I19)</f>
        <v>0</v>
      </c>
    </row>
    <row r="20" spans="1:10">
      <c r="A20" s="636">
        <f t="shared" ref="A20:A25" si="2">A19+1</f>
        <v>9</v>
      </c>
      <c r="B20" s="75" t="s">
        <v>341</v>
      </c>
      <c r="C20" s="118"/>
      <c r="D20" s="118"/>
      <c r="E20" s="118"/>
      <c r="F20" s="118"/>
      <c r="G20" s="118"/>
      <c r="H20" s="118"/>
      <c r="I20" s="118"/>
      <c r="J20" s="349">
        <f t="shared" si="1"/>
        <v>0</v>
      </c>
    </row>
    <row r="21" spans="1:10">
      <c r="A21" s="636">
        <f t="shared" si="2"/>
        <v>10</v>
      </c>
      <c r="B21" s="75" t="s">
        <v>342</v>
      </c>
      <c r="C21" s="118"/>
      <c r="D21" s="118"/>
      <c r="E21" s="118"/>
      <c r="F21" s="118"/>
      <c r="G21" s="118"/>
      <c r="H21" s="118"/>
      <c r="I21" s="118"/>
      <c r="J21" s="349">
        <f t="shared" si="1"/>
        <v>0</v>
      </c>
    </row>
    <row r="22" spans="1:10">
      <c r="A22" s="636">
        <f t="shared" si="2"/>
        <v>11</v>
      </c>
      <c r="B22" s="75" t="s">
        <v>343</v>
      </c>
      <c r="C22" s="608"/>
      <c r="D22" s="608"/>
      <c r="E22" s="608"/>
      <c r="F22" s="608"/>
      <c r="G22" s="608"/>
      <c r="H22" s="608"/>
      <c r="I22" s="608"/>
      <c r="J22" s="595">
        <f t="shared" si="1"/>
        <v>0</v>
      </c>
    </row>
    <row r="23" spans="1:10">
      <c r="A23" s="636">
        <f t="shared" si="2"/>
        <v>12</v>
      </c>
      <c r="B23" s="75" t="s">
        <v>344</v>
      </c>
      <c r="C23" s="608"/>
      <c r="D23" s="608"/>
      <c r="E23" s="608"/>
      <c r="F23" s="608"/>
      <c r="G23" s="608"/>
      <c r="H23" s="608"/>
      <c r="I23" s="608"/>
      <c r="J23" s="595">
        <f t="shared" si="1"/>
        <v>0</v>
      </c>
    </row>
    <row r="24" spans="1:10">
      <c r="A24" s="636">
        <f t="shared" si="2"/>
        <v>13</v>
      </c>
      <c r="B24" s="641" t="s">
        <v>525</v>
      </c>
      <c r="C24" s="119"/>
      <c r="D24" s="119"/>
      <c r="E24" s="119"/>
      <c r="F24" s="119"/>
      <c r="G24" s="119"/>
      <c r="H24" s="119"/>
      <c r="I24" s="119"/>
      <c r="J24" s="638">
        <f t="shared" si="1"/>
        <v>0</v>
      </c>
    </row>
    <row r="25" spans="1:10">
      <c r="A25" s="636">
        <f t="shared" si="2"/>
        <v>14</v>
      </c>
      <c r="B25" s="642" t="s">
        <v>68</v>
      </c>
      <c r="C25" s="643">
        <f t="shared" ref="C25:J25" si="3">C19+C20+C21-C22-C23-C24</f>
        <v>0</v>
      </c>
      <c r="D25" s="643"/>
      <c r="E25" s="643">
        <f t="shared" si="3"/>
        <v>0</v>
      </c>
      <c r="F25" s="643">
        <f t="shared" si="3"/>
        <v>0</v>
      </c>
      <c r="G25" s="643">
        <f t="shared" si="3"/>
        <v>0</v>
      </c>
      <c r="H25" s="643">
        <f t="shared" si="3"/>
        <v>0</v>
      </c>
      <c r="I25" s="643">
        <f t="shared" si="3"/>
        <v>0</v>
      </c>
      <c r="J25" s="643">
        <f t="shared" si="3"/>
        <v>0</v>
      </c>
    </row>
    <row r="27" spans="1:10" ht="15">
      <c r="A27" s="607" t="s">
        <v>526</v>
      </c>
      <c r="B27" s="644"/>
      <c r="C27" s="644"/>
      <c r="D27" s="644"/>
      <c r="E27" s="644"/>
    </row>
    <row r="28" spans="1:10">
      <c r="A28" s="636">
        <f>A25+1</f>
        <v>15</v>
      </c>
      <c r="B28" s="76" t="s">
        <v>527</v>
      </c>
      <c r="C28" s="609"/>
      <c r="D28" s="660"/>
      <c r="E28" s="661"/>
      <c r="F28" s="660"/>
      <c r="G28" s="660"/>
      <c r="H28" s="609"/>
      <c r="I28" s="660"/>
      <c r="J28" s="645"/>
    </row>
    <row r="29" spans="1:10">
      <c r="A29" s="636">
        <f>A28+1</f>
        <v>16</v>
      </c>
      <c r="B29" s="76" t="s">
        <v>528</v>
      </c>
      <c r="C29" s="610"/>
      <c r="D29" s="662"/>
      <c r="E29" s="610"/>
      <c r="F29" s="662"/>
      <c r="G29" s="662"/>
      <c r="H29" s="610"/>
      <c r="I29" s="662"/>
      <c r="J29" s="646"/>
    </row>
    <row r="30" spans="1:10">
      <c r="A30" s="636">
        <f>A29+1</f>
        <v>17</v>
      </c>
      <c r="B30" s="76" t="s">
        <v>529</v>
      </c>
      <c r="C30" s="118"/>
      <c r="D30" s="663"/>
      <c r="E30" s="118"/>
      <c r="F30" s="663"/>
      <c r="G30" s="663"/>
      <c r="H30" s="118"/>
      <c r="I30" s="663"/>
    </row>
    <row r="31" spans="1:10">
      <c r="A31" s="636">
        <f>A30+1</f>
        <v>18</v>
      </c>
      <c r="B31" s="76" t="str">
        <f>"Monetary Value (Ln "&amp;A29&amp;" * Ln "&amp;A30&amp;")"</f>
        <v>Monetary Value (Ln 16 * Ln 17)</v>
      </c>
      <c r="C31" s="348">
        <f t="shared" ref="C31:I31" si="4">C29*C30</f>
        <v>0</v>
      </c>
      <c r="D31" s="348"/>
      <c r="E31" s="348">
        <f t="shared" si="4"/>
        <v>0</v>
      </c>
      <c r="F31" s="348">
        <f t="shared" si="4"/>
        <v>0</v>
      </c>
      <c r="G31" s="348">
        <f t="shared" si="4"/>
        <v>0</v>
      </c>
      <c r="H31" s="348">
        <f t="shared" si="4"/>
        <v>0</v>
      </c>
      <c r="I31" s="348">
        <f t="shared" si="4"/>
        <v>0</v>
      </c>
      <c r="J31" s="643">
        <f>SUM(C31:I31)</f>
        <v>0</v>
      </c>
    </row>
    <row r="32" spans="1:10">
      <c r="A32" s="636">
        <f>A31+1</f>
        <v>19</v>
      </c>
      <c r="B32" s="76" t="str">
        <f>"Dividend Amount (Ln "&amp;A28&amp;" * Ln "&amp;A31&amp;")"</f>
        <v>Dividend Amount (Ln 15 * Ln 18)</v>
      </c>
      <c r="C32" s="348">
        <f t="shared" ref="C32:I32" si="5">C31*C28</f>
        <v>0</v>
      </c>
      <c r="D32" s="348"/>
      <c r="E32" s="348">
        <f t="shared" si="5"/>
        <v>0</v>
      </c>
      <c r="F32" s="348">
        <f t="shared" si="5"/>
        <v>0</v>
      </c>
      <c r="G32" s="348">
        <f t="shared" si="5"/>
        <v>0</v>
      </c>
      <c r="H32" s="348">
        <f t="shared" si="5"/>
        <v>0</v>
      </c>
      <c r="I32" s="348">
        <f t="shared" si="5"/>
        <v>0</v>
      </c>
      <c r="J32" s="643">
        <f>SUM(C32:I32)</f>
        <v>0</v>
      </c>
    </row>
    <row r="34" spans="1:10">
      <c r="A34" s="636">
        <f>A32+1</f>
        <v>20</v>
      </c>
      <c r="B34" s="76" t="s">
        <v>527</v>
      </c>
      <c r="C34" s="609"/>
      <c r="D34" s="660"/>
      <c r="E34" s="661"/>
      <c r="F34" s="660"/>
      <c r="G34" s="660"/>
      <c r="H34" s="609"/>
      <c r="I34" s="660"/>
    </row>
    <row r="35" spans="1:10">
      <c r="A35" s="636">
        <f>A34+1</f>
        <v>21</v>
      </c>
      <c r="B35" s="76" t="s">
        <v>528</v>
      </c>
      <c r="C35" s="610"/>
      <c r="D35" s="662"/>
      <c r="E35" s="610"/>
      <c r="F35" s="662"/>
      <c r="G35" s="662"/>
      <c r="H35" s="610"/>
      <c r="I35" s="662"/>
    </row>
    <row r="36" spans="1:10">
      <c r="A36" s="636">
        <f>A35+1</f>
        <v>22</v>
      </c>
      <c r="B36" s="76" t="s">
        <v>529</v>
      </c>
      <c r="C36" s="118"/>
      <c r="D36" s="663"/>
      <c r="E36" s="118"/>
      <c r="F36" s="663"/>
      <c r="G36" s="663"/>
      <c r="H36" s="118"/>
      <c r="I36" s="663"/>
    </row>
    <row r="37" spans="1:10">
      <c r="A37" s="636">
        <f>A36+1</f>
        <v>23</v>
      </c>
      <c r="B37" s="76" t="str">
        <f>"Monetary Value (Ln "&amp;A35&amp;" * Ln "&amp;A36&amp;")"</f>
        <v>Monetary Value (Ln 21 * Ln 22)</v>
      </c>
      <c r="C37" s="348">
        <f t="shared" ref="C37:I37" si="6">C35*C36</f>
        <v>0</v>
      </c>
      <c r="D37" s="348"/>
      <c r="E37" s="348">
        <f t="shared" si="6"/>
        <v>0</v>
      </c>
      <c r="F37" s="348">
        <f t="shared" si="6"/>
        <v>0</v>
      </c>
      <c r="G37" s="348">
        <f t="shared" si="6"/>
        <v>0</v>
      </c>
      <c r="H37" s="348">
        <f t="shared" si="6"/>
        <v>0</v>
      </c>
      <c r="I37" s="348">
        <f t="shared" si="6"/>
        <v>0</v>
      </c>
      <c r="J37" s="643">
        <f>SUM(C37:I37)</f>
        <v>0</v>
      </c>
    </row>
    <row r="38" spans="1:10">
      <c r="A38" s="636">
        <f>A37+1</f>
        <v>24</v>
      </c>
      <c r="B38" s="76" t="str">
        <f>"Dividend Amount (Ln "&amp;A34&amp;" * Ln "&amp;A37&amp;")"</f>
        <v>Dividend Amount (Ln 20 * Ln 23)</v>
      </c>
      <c r="C38" s="348">
        <f t="shared" ref="C38:I38" si="7">C37*C34</f>
        <v>0</v>
      </c>
      <c r="D38" s="348"/>
      <c r="E38" s="348">
        <f t="shared" si="7"/>
        <v>0</v>
      </c>
      <c r="F38" s="348">
        <f t="shared" si="7"/>
        <v>0</v>
      </c>
      <c r="G38" s="348">
        <f t="shared" si="7"/>
        <v>0</v>
      </c>
      <c r="H38" s="348">
        <f t="shared" si="7"/>
        <v>0</v>
      </c>
      <c r="I38" s="348">
        <f t="shared" si="7"/>
        <v>0</v>
      </c>
      <c r="J38" s="643">
        <f>SUM(C38:I38)</f>
        <v>0</v>
      </c>
    </row>
    <row r="40" spans="1:10">
      <c r="A40" s="636">
        <f>A38+1</f>
        <v>25</v>
      </c>
      <c r="B40" s="76" t="s">
        <v>527</v>
      </c>
      <c r="C40" s="609"/>
      <c r="D40" s="660"/>
      <c r="E40" s="661"/>
      <c r="F40" s="660"/>
      <c r="G40" s="660"/>
      <c r="H40" s="609"/>
      <c r="I40" s="660"/>
    </row>
    <row r="41" spans="1:10">
      <c r="A41" s="636">
        <f>A40+1</f>
        <v>26</v>
      </c>
      <c r="B41" s="76" t="s">
        <v>528</v>
      </c>
      <c r="C41" s="610"/>
      <c r="D41" s="662"/>
      <c r="E41" s="610"/>
      <c r="F41" s="662"/>
      <c r="G41" s="662"/>
      <c r="H41" s="610"/>
      <c r="I41" s="662"/>
    </row>
    <row r="42" spans="1:10">
      <c r="A42" s="636">
        <f>A41+1</f>
        <v>27</v>
      </c>
      <c r="B42" s="76" t="s">
        <v>529</v>
      </c>
      <c r="C42" s="118"/>
      <c r="D42" s="663"/>
      <c r="E42" s="118"/>
      <c r="F42" s="663"/>
      <c r="G42" s="663"/>
      <c r="H42" s="118"/>
      <c r="I42" s="663"/>
    </row>
    <row r="43" spans="1:10">
      <c r="A43" s="636">
        <f>A42+1</f>
        <v>28</v>
      </c>
      <c r="B43" s="76" t="str">
        <f>"Monetary Value (Ln "&amp;A41&amp;" * Ln "&amp;A42&amp;")"</f>
        <v>Monetary Value (Ln 26 * Ln 27)</v>
      </c>
      <c r="C43" s="348">
        <f t="shared" ref="C43:I43" si="8">C41*C42</f>
        <v>0</v>
      </c>
      <c r="D43" s="348"/>
      <c r="E43" s="348">
        <f t="shared" si="8"/>
        <v>0</v>
      </c>
      <c r="F43" s="348">
        <f t="shared" si="8"/>
        <v>0</v>
      </c>
      <c r="G43" s="348">
        <f t="shared" si="8"/>
        <v>0</v>
      </c>
      <c r="H43" s="348">
        <f t="shared" si="8"/>
        <v>0</v>
      </c>
      <c r="I43" s="348">
        <f t="shared" si="8"/>
        <v>0</v>
      </c>
      <c r="J43" s="643">
        <f>SUM(C43:I43)</f>
        <v>0</v>
      </c>
    </row>
    <row r="44" spans="1:10">
      <c r="A44" s="636">
        <f>A43+1</f>
        <v>29</v>
      </c>
      <c r="B44" s="76" t="str">
        <f>"Dividend Amount (Ln "&amp;A40&amp;" * Ln "&amp;A43&amp;")"</f>
        <v>Dividend Amount (Ln 25 * Ln 28)</v>
      </c>
      <c r="C44" s="348">
        <f t="shared" ref="C44:I44" si="9">C43*C40</f>
        <v>0</v>
      </c>
      <c r="D44" s="348"/>
      <c r="E44" s="348">
        <f t="shared" si="9"/>
        <v>0</v>
      </c>
      <c r="F44" s="348">
        <f t="shared" si="9"/>
        <v>0</v>
      </c>
      <c r="G44" s="348">
        <f t="shared" si="9"/>
        <v>0</v>
      </c>
      <c r="H44" s="348">
        <f t="shared" si="9"/>
        <v>0</v>
      </c>
      <c r="I44" s="348">
        <f t="shared" si="9"/>
        <v>0</v>
      </c>
      <c r="J44" s="643">
        <f>SUM(C44:I44)</f>
        <v>0</v>
      </c>
    </row>
    <row r="46" spans="1:10">
      <c r="A46" s="636">
        <f>A44+1</f>
        <v>30</v>
      </c>
      <c r="B46" s="76" t="s">
        <v>527</v>
      </c>
      <c r="C46" s="609"/>
      <c r="D46" s="660"/>
      <c r="E46" s="661"/>
      <c r="F46" s="660"/>
      <c r="G46" s="660"/>
      <c r="H46" s="609"/>
      <c r="I46" s="660"/>
    </row>
    <row r="47" spans="1:10">
      <c r="A47" s="636">
        <f>A46+1</f>
        <v>31</v>
      </c>
      <c r="B47" s="76" t="s">
        <v>528</v>
      </c>
      <c r="C47" s="610"/>
      <c r="D47" s="662"/>
      <c r="E47" s="610"/>
      <c r="F47" s="662"/>
      <c r="G47" s="662"/>
      <c r="H47" s="610"/>
      <c r="I47" s="662"/>
    </row>
    <row r="48" spans="1:10">
      <c r="A48" s="636">
        <f>A47+1</f>
        <v>32</v>
      </c>
      <c r="B48" s="76" t="s">
        <v>529</v>
      </c>
      <c r="C48" s="118"/>
      <c r="D48" s="663"/>
      <c r="E48" s="118"/>
      <c r="F48" s="663"/>
      <c r="G48" s="663"/>
      <c r="H48" s="118"/>
      <c r="I48" s="663"/>
    </row>
    <row r="49" spans="1:10">
      <c r="A49" s="636">
        <f>A48+1</f>
        <v>33</v>
      </c>
      <c r="B49" s="76" t="str">
        <f>"Monetary Value (Ln "&amp;A47&amp;" * Ln "&amp;A48&amp;")"</f>
        <v>Monetary Value (Ln 31 * Ln 32)</v>
      </c>
      <c r="C49" s="348">
        <f t="shared" ref="C49:I49" si="10">C47*C48</f>
        <v>0</v>
      </c>
      <c r="D49" s="348"/>
      <c r="E49" s="348">
        <f t="shared" si="10"/>
        <v>0</v>
      </c>
      <c r="F49" s="348">
        <f t="shared" si="10"/>
        <v>0</v>
      </c>
      <c r="G49" s="348">
        <f t="shared" si="10"/>
        <v>0</v>
      </c>
      <c r="H49" s="348">
        <f t="shared" si="10"/>
        <v>0</v>
      </c>
      <c r="I49" s="348">
        <f t="shared" si="10"/>
        <v>0</v>
      </c>
      <c r="J49" s="643">
        <f>SUM(C49:I49)</f>
        <v>0</v>
      </c>
    </row>
    <row r="50" spans="1:10">
      <c r="A50" s="636">
        <f>A49+1</f>
        <v>34</v>
      </c>
      <c r="B50" s="76" t="str">
        <f>"Dividend Amount (Ln "&amp;A46&amp;" * Ln "&amp;A49&amp;")"</f>
        <v>Dividend Amount (Ln 30 * Ln 33)</v>
      </c>
      <c r="C50" s="348">
        <f t="shared" ref="C50:I50" si="11">C49*C46</f>
        <v>0</v>
      </c>
      <c r="D50" s="348"/>
      <c r="E50" s="348">
        <f t="shared" si="11"/>
        <v>0</v>
      </c>
      <c r="F50" s="348">
        <f t="shared" si="11"/>
        <v>0</v>
      </c>
      <c r="G50" s="348">
        <f t="shared" si="11"/>
        <v>0</v>
      </c>
      <c r="H50" s="348">
        <f t="shared" si="11"/>
        <v>0</v>
      </c>
      <c r="I50" s="348">
        <f t="shared" si="11"/>
        <v>0</v>
      </c>
      <c r="J50" s="643">
        <f>SUM(C50:I50)</f>
        <v>0</v>
      </c>
    </row>
    <row r="51" spans="1:10">
      <c r="B51" s="76"/>
    </row>
    <row r="52" spans="1:10">
      <c r="A52" s="636">
        <f>A50+1</f>
        <v>35</v>
      </c>
      <c r="B52" s="351" t="str">
        <f>"Preferred Stock (Lns "&amp;A31&amp;", "&amp;A37&amp;", "&amp;A43&amp;","&amp;A49&amp;")"</f>
        <v>Preferred Stock (Lns 18, 23, 28,33)</v>
      </c>
      <c r="C52" s="643">
        <f t="shared" ref="C52:I53" si="12">C31+C37+C43+C49</f>
        <v>0</v>
      </c>
      <c r="D52" s="643"/>
      <c r="E52" s="643">
        <f t="shared" si="12"/>
        <v>0</v>
      </c>
      <c r="F52" s="643">
        <f t="shared" si="12"/>
        <v>0</v>
      </c>
      <c r="G52" s="643">
        <f t="shared" si="12"/>
        <v>0</v>
      </c>
      <c r="H52" s="643">
        <f t="shared" si="12"/>
        <v>0</v>
      </c>
      <c r="I52" s="643">
        <f t="shared" si="12"/>
        <v>0</v>
      </c>
      <c r="J52" s="643">
        <f>SUM(C52:I52)</f>
        <v>0</v>
      </c>
    </row>
    <row r="53" spans="1:10">
      <c r="A53" s="636">
        <f>A52+1</f>
        <v>36</v>
      </c>
      <c r="B53" s="351" t="str">
        <f>"Preferred Dividends (Lns "&amp;A32&amp;", "&amp;A38&amp;", "&amp;A44&amp;","&amp;A50&amp;")"</f>
        <v>Preferred Dividends (Lns 19, 24, 29,34)</v>
      </c>
      <c r="C53" s="643">
        <f t="shared" si="12"/>
        <v>0</v>
      </c>
      <c r="D53" s="643"/>
      <c r="E53" s="643">
        <f t="shared" si="12"/>
        <v>0</v>
      </c>
      <c r="F53" s="643">
        <f t="shared" si="12"/>
        <v>0</v>
      </c>
      <c r="G53" s="643">
        <f t="shared" si="12"/>
        <v>0</v>
      </c>
      <c r="H53" s="643">
        <f t="shared" si="12"/>
        <v>0</v>
      </c>
      <c r="I53" s="643">
        <f t="shared" si="12"/>
        <v>0</v>
      </c>
      <c r="J53" s="643">
        <f>SUM(C53:I53)</f>
        <v>0</v>
      </c>
    </row>
    <row r="54" spans="1:10">
      <c r="B54" s="647"/>
    </row>
    <row r="55" spans="1:10" ht="15">
      <c r="A55" s="607" t="s">
        <v>530</v>
      </c>
    </row>
    <row r="56" spans="1:10">
      <c r="A56" s="636">
        <f>A53+1</f>
        <v>37</v>
      </c>
      <c r="B56" s="457" t="s">
        <v>531</v>
      </c>
      <c r="C56" s="118"/>
      <c r="D56" s="118"/>
      <c r="E56" s="118"/>
      <c r="F56" s="118"/>
      <c r="G56" s="118"/>
      <c r="H56" s="118"/>
      <c r="I56" s="118"/>
      <c r="J56" s="643">
        <f>SUM(C56:I56)</f>
        <v>0</v>
      </c>
    </row>
    <row r="57" spans="1:10">
      <c r="A57" s="636">
        <f>A56+1</f>
        <v>38</v>
      </c>
      <c r="B57" s="457" t="str">
        <f>"Less: Preferred Stock (Ln "&amp;A52&amp;" Above)"</f>
        <v>Less: Preferred Stock (Ln 35 Above)</v>
      </c>
      <c r="C57" s="349">
        <f t="shared" ref="C57:I57" si="13">C52</f>
        <v>0</v>
      </c>
      <c r="D57" s="349"/>
      <c r="E57" s="349">
        <f t="shared" si="13"/>
        <v>0</v>
      </c>
      <c r="F57" s="349">
        <f t="shared" si="13"/>
        <v>0</v>
      </c>
      <c r="G57" s="349">
        <f t="shared" si="13"/>
        <v>0</v>
      </c>
      <c r="H57" s="349">
        <f t="shared" si="13"/>
        <v>0</v>
      </c>
      <c r="I57" s="349">
        <f t="shared" si="13"/>
        <v>0</v>
      </c>
      <c r="J57" s="643">
        <f>SUM(C57:I57)</f>
        <v>0</v>
      </c>
    </row>
    <row r="58" spans="1:10">
      <c r="A58" s="636">
        <f>A57+1</f>
        <v>39</v>
      </c>
      <c r="B58" s="457" t="s">
        <v>532</v>
      </c>
      <c r="C58" s="608"/>
      <c r="D58" s="608"/>
      <c r="E58" s="608"/>
      <c r="F58" s="608"/>
      <c r="G58" s="608"/>
      <c r="H58" s="608"/>
      <c r="I58" s="608"/>
      <c r="J58" s="643">
        <f>SUM(C58:I58)</f>
        <v>0</v>
      </c>
    </row>
    <row r="59" spans="1:10">
      <c r="A59" s="636">
        <f>A58+1</f>
        <v>40</v>
      </c>
      <c r="B59" s="457" t="s">
        <v>533</v>
      </c>
      <c r="C59" s="119"/>
      <c r="D59" s="119"/>
      <c r="E59" s="119"/>
      <c r="F59" s="119"/>
      <c r="G59" s="119"/>
      <c r="H59" s="119"/>
      <c r="I59" s="119"/>
      <c r="J59" s="648">
        <f>SUM(C59:I59)</f>
        <v>0</v>
      </c>
    </row>
    <row r="60" spans="1:10">
      <c r="A60" s="636">
        <f>A59+1</f>
        <v>41</v>
      </c>
      <c r="B60" s="461" t="s">
        <v>534</v>
      </c>
      <c r="C60" s="595">
        <f t="shared" ref="C60:J60" si="14">C56-C57-C58-C59</f>
        <v>0</v>
      </c>
      <c r="D60" s="595"/>
      <c r="E60" s="595">
        <f t="shared" si="14"/>
        <v>0</v>
      </c>
      <c r="F60" s="595">
        <f t="shared" si="14"/>
        <v>0</v>
      </c>
      <c r="G60" s="595">
        <f t="shared" si="14"/>
        <v>0</v>
      </c>
      <c r="H60" s="595">
        <f t="shared" si="14"/>
        <v>0</v>
      </c>
      <c r="I60" s="595">
        <f t="shared" si="14"/>
        <v>0</v>
      </c>
      <c r="J60" s="595">
        <f t="shared" si="14"/>
        <v>0</v>
      </c>
    </row>
    <row r="62" spans="1:10" ht="15">
      <c r="A62" s="607" t="s">
        <v>535</v>
      </c>
    </row>
    <row r="63" spans="1:10">
      <c r="A63" s="636">
        <f>A60+1</f>
        <v>42</v>
      </c>
      <c r="B63" s="7" t="str">
        <f>"Long Term Debt (Ln "&amp;A14&amp;" Above)"</f>
        <v>Long Term Debt (Ln 6 Above)</v>
      </c>
      <c r="C63" s="643">
        <f t="shared" ref="C63:J63" si="15">C14</f>
        <v>0</v>
      </c>
      <c r="D63" s="643"/>
      <c r="E63" s="643">
        <f t="shared" si="15"/>
        <v>0</v>
      </c>
      <c r="F63" s="643">
        <f t="shared" si="15"/>
        <v>0</v>
      </c>
      <c r="G63" s="643">
        <f t="shared" si="15"/>
        <v>0</v>
      </c>
      <c r="H63" s="643">
        <f t="shared" si="15"/>
        <v>0</v>
      </c>
      <c r="I63" s="643">
        <f t="shared" si="15"/>
        <v>0</v>
      </c>
      <c r="J63" s="643">
        <f t="shared" si="15"/>
        <v>0</v>
      </c>
    </row>
    <row r="64" spans="1:10">
      <c r="A64" s="636">
        <f>A63+1</f>
        <v>43</v>
      </c>
      <c r="B64" s="7" t="str">
        <f>"Preferred Stock (Ln "&amp;A52&amp;" Above)"</f>
        <v>Preferred Stock (Ln 35 Above)</v>
      </c>
      <c r="C64" s="643">
        <f t="shared" ref="C64:J64" si="16">C52</f>
        <v>0</v>
      </c>
      <c r="D64" s="643"/>
      <c r="E64" s="643">
        <f t="shared" si="16"/>
        <v>0</v>
      </c>
      <c r="F64" s="643">
        <f t="shared" si="16"/>
        <v>0</v>
      </c>
      <c r="G64" s="643">
        <f t="shared" si="16"/>
        <v>0</v>
      </c>
      <c r="H64" s="643">
        <f t="shared" si="16"/>
        <v>0</v>
      </c>
      <c r="I64" s="643">
        <f t="shared" si="16"/>
        <v>0</v>
      </c>
      <c r="J64" s="643">
        <f t="shared" si="16"/>
        <v>0</v>
      </c>
    </row>
    <row r="65" spans="1:10">
      <c r="A65" s="636">
        <f>A64+1</f>
        <v>44</v>
      </c>
      <c r="B65" s="7" t="str">
        <f>"Common Equity (Ln "&amp;A60&amp;" Above)"</f>
        <v>Common Equity (Ln 41 Above)</v>
      </c>
      <c r="C65" s="648">
        <f t="shared" ref="C65:J65" si="17">C60</f>
        <v>0</v>
      </c>
      <c r="D65" s="648"/>
      <c r="E65" s="648">
        <f t="shared" si="17"/>
        <v>0</v>
      </c>
      <c r="F65" s="648">
        <f t="shared" si="17"/>
        <v>0</v>
      </c>
      <c r="G65" s="648">
        <f t="shared" si="17"/>
        <v>0</v>
      </c>
      <c r="H65" s="648">
        <f t="shared" si="17"/>
        <v>0</v>
      </c>
      <c r="I65" s="648">
        <f t="shared" si="17"/>
        <v>0</v>
      </c>
      <c r="J65" s="648">
        <f t="shared" si="17"/>
        <v>0</v>
      </c>
    </row>
    <row r="66" spans="1:10">
      <c r="A66" s="636">
        <f>A65+1</f>
        <v>45</v>
      </c>
      <c r="B66" s="636" t="s">
        <v>536</v>
      </c>
      <c r="C66" s="643">
        <f t="shared" ref="C66:J66" si="18">SUM(C63:C65)</f>
        <v>0</v>
      </c>
      <c r="D66" s="643"/>
      <c r="E66" s="643">
        <f t="shared" si="18"/>
        <v>0</v>
      </c>
      <c r="F66" s="643">
        <f t="shared" si="18"/>
        <v>0</v>
      </c>
      <c r="G66" s="643">
        <f t="shared" si="18"/>
        <v>0</v>
      </c>
      <c r="H66" s="643">
        <f t="shared" si="18"/>
        <v>0</v>
      </c>
      <c r="I66" s="643">
        <f t="shared" si="18"/>
        <v>0</v>
      </c>
      <c r="J66" s="643">
        <f t="shared" si="18"/>
        <v>0</v>
      </c>
    </row>
    <row r="68" spans="1:10">
      <c r="A68" s="636">
        <f>A66+1</f>
        <v>46</v>
      </c>
      <c r="B68" s="7" t="str">
        <f>"LTD Capital Shares (Ln "&amp;A63&amp;" / Ln "&amp;A66&amp;")"</f>
        <v>LTD Capital Shares (Ln 42 / Ln 45)</v>
      </c>
      <c r="C68" s="649" t="e">
        <f t="shared" ref="C68:J68" si="19">C63/C66</f>
        <v>#DIV/0!</v>
      </c>
      <c r="D68" s="649"/>
      <c r="E68" s="649" t="e">
        <f t="shared" si="19"/>
        <v>#DIV/0!</v>
      </c>
      <c r="F68" s="649" t="e">
        <f t="shared" si="19"/>
        <v>#DIV/0!</v>
      </c>
      <c r="G68" s="649" t="e">
        <f t="shared" si="19"/>
        <v>#DIV/0!</v>
      </c>
      <c r="H68" s="649" t="e">
        <f t="shared" si="19"/>
        <v>#DIV/0!</v>
      </c>
      <c r="I68" s="649" t="e">
        <f t="shared" si="19"/>
        <v>#DIV/0!</v>
      </c>
      <c r="J68" s="649" t="e">
        <f t="shared" si="19"/>
        <v>#DIV/0!</v>
      </c>
    </row>
    <row r="69" spans="1:10">
      <c r="A69" s="636">
        <f>A68+1</f>
        <v>47</v>
      </c>
      <c r="B69" s="7" t="str">
        <f>"Preferred Stock Capital Shares (Ln "&amp;A64&amp;" / Ln "&amp;A66&amp;")"</f>
        <v>Preferred Stock Capital Shares (Ln 43 / Ln 45)</v>
      </c>
      <c r="C69" s="649" t="e">
        <f t="shared" ref="C69:J69" si="20">C64/C66</f>
        <v>#DIV/0!</v>
      </c>
      <c r="D69" s="649"/>
      <c r="E69" s="649" t="e">
        <f t="shared" si="20"/>
        <v>#DIV/0!</v>
      </c>
      <c r="F69" s="649" t="e">
        <f t="shared" si="20"/>
        <v>#DIV/0!</v>
      </c>
      <c r="G69" s="649" t="e">
        <f t="shared" si="20"/>
        <v>#DIV/0!</v>
      </c>
      <c r="H69" s="649" t="e">
        <f t="shared" si="20"/>
        <v>#DIV/0!</v>
      </c>
      <c r="I69" s="649" t="e">
        <f t="shared" si="20"/>
        <v>#DIV/0!</v>
      </c>
      <c r="J69" s="649" t="e">
        <f t="shared" si="20"/>
        <v>#DIV/0!</v>
      </c>
    </row>
    <row r="70" spans="1:10">
      <c r="A70" s="636">
        <f>A69+1</f>
        <v>48</v>
      </c>
      <c r="B70" s="7" t="str">
        <f>"Common Equity Capital Shares (Ln "&amp;A65&amp;" / Ln "&amp;A66&amp;")"</f>
        <v>Common Equity Capital Shares (Ln 44 / Ln 45)</v>
      </c>
      <c r="C70" s="650" t="e">
        <f t="shared" ref="C70:J70" si="21">C65/C66</f>
        <v>#DIV/0!</v>
      </c>
      <c r="D70" s="650"/>
      <c r="E70" s="650" t="e">
        <f t="shared" si="21"/>
        <v>#DIV/0!</v>
      </c>
      <c r="F70" s="650" t="e">
        <f t="shared" si="21"/>
        <v>#DIV/0!</v>
      </c>
      <c r="G70" s="650" t="e">
        <f t="shared" si="21"/>
        <v>#DIV/0!</v>
      </c>
      <c r="H70" s="650" t="e">
        <f t="shared" si="21"/>
        <v>#DIV/0!</v>
      </c>
      <c r="I70" s="650" t="e">
        <f t="shared" si="21"/>
        <v>#DIV/0!</v>
      </c>
      <c r="J70" s="650" t="e">
        <f t="shared" si="21"/>
        <v>#DIV/0!</v>
      </c>
    </row>
    <row r="71" spans="1:10">
      <c r="B71" s="7"/>
      <c r="C71" s="650"/>
      <c r="D71" s="650"/>
      <c r="E71" s="650"/>
      <c r="F71" s="650"/>
      <c r="G71" s="650"/>
      <c r="H71" s="650"/>
      <c r="I71" s="650"/>
      <c r="J71" s="650"/>
    </row>
    <row r="72" spans="1:10">
      <c r="A72" s="636">
        <f>A70+1</f>
        <v>49</v>
      </c>
      <c r="B72" s="351" t="s">
        <v>566</v>
      </c>
      <c r="C72" s="651"/>
      <c r="D72" s="651"/>
      <c r="E72" s="651"/>
      <c r="F72" s="651"/>
      <c r="G72" s="651"/>
      <c r="H72" s="651"/>
      <c r="I72" s="651"/>
      <c r="J72" s="651"/>
    </row>
    <row r="73" spans="1:10">
      <c r="B73" s="7"/>
      <c r="C73" s="650"/>
      <c r="D73" s="650"/>
      <c r="E73" s="650"/>
      <c r="F73" s="650"/>
      <c r="G73" s="650"/>
      <c r="H73" s="650"/>
      <c r="I73" s="650"/>
      <c r="J73" s="650"/>
    </row>
    <row r="74" spans="1:10">
      <c r="A74" s="636">
        <f>A72+1</f>
        <v>50</v>
      </c>
      <c r="B74" s="351" t="s">
        <v>566</v>
      </c>
      <c r="C74" s="650"/>
      <c r="D74" s="650"/>
      <c r="E74" s="650"/>
      <c r="F74" s="650"/>
      <c r="G74" s="650"/>
      <c r="H74" s="650"/>
      <c r="I74" s="650"/>
      <c r="J74" s="650"/>
    </row>
    <row r="75" spans="1:10">
      <c r="A75" s="636">
        <f>A74+1</f>
        <v>51</v>
      </c>
      <c r="B75" s="351" t="s">
        <v>566</v>
      </c>
      <c r="C75" s="650"/>
      <c r="D75" s="650"/>
      <c r="E75" s="650"/>
      <c r="F75" s="650"/>
      <c r="G75" s="650"/>
      <c r="H75" s="650"/>
      <c r="I75" s="650"/>
      <c r="J75" s="650"/>
    </row>
    <row r="76" spans="1:10">
      <c r="A76" s="636">
        <f>A75+1</f>
        <v>52</v>
      </c>
      <c r="B76" s="351" t="s">
        <v>566</v>
      </c>
      <c r="C76" s="650"/>
      <c r="D76" s="650"/>
      <c r="E76" s="650"/>
      <c r="F76" s="650"/>
      <c r="G76" s="650"/>
      <c r="H76" s="650"/>
      <c r="I76" s="650"/>
      <c r="J76" s="650"/>
    </row>
    <row r="77" spans="1:10">
      <c r="B77" s="7"/>
      <c r="C77" s="649"/>
      <c r="D77" s="649"/>
      <c r="E77" s="649"/>
      <c r="F77" s="649"/>
      <c r="G77" s="649"/>
      <c r="H77" s="649"/>
      <c r="I77" s="649"/>
      <c r="J77" s="649"/>
    </row>
    <row r="78" spans="1:10" ht="15">
      <c r="A78" s="607" t="s">
        <v>537</v>
      </c>
    </row>
    <row r="79" spans="1:10">
      <c r="A79" s="636">
        <f>A76+1</f>
        <v>53</v>
      </c>
      <c r="B79" s="7" t="str">
        <f>"LTD Capital Cost Rate (Ln "&amp;A25&amp;" / Ln "&amp;A14&amp;")"</f>
        <v>LTD Capital Cost Rate (Ln 14 / Ln 6)</v>
      </c>
      <c r="C79" s="649" t="e">
        <f t="shared" ref="C79:J79" si="22">C25/C14</f>
        <v>#DIV/0!</v>
      </c>
      <c r="D79" s="649"/>
      <c r="E79" s="649" t="e">
        <f t="shared" si="22"/>
        <v>#DIV/0!</v>
      </c>
      <c r="F79" s="649" t="e">
        <f t="shared" si="22"/>
        <v>#DIV/0!</v>
      </c>
      <c r="G79" s="649" t="e">
        <f t="shared" si="22"/>
        <v>#DIV/0!</v>
      </c>
      <c r="H79" s="649" t="e">
        <f t="shared" si="22"/>
        <v>#DIV/0!</v>
      </c>
      <c r="I79" s="649" t="e">
        <f t="shared" si="22"/>
        <v>#DIV/0!</v>
      </c>
      <c r="J79" s="649" t="e">
        <f t="shared" si="22"/>
        <v>#DIV/0!</v>
      </c>
    </row>
    <row r="80" spans="1:10">
      <c r="A80" s="636">
        <f>A79+1</f>
        <v>54</v>
      </c>
      <c r="B80" s="7" t="str">
        <f>"Preferred Stock Capital Cost Rate (Ln "&amp;A53&amp;" / Ln "&amp;A52&amp;")"</f>
        <v>Preferred Stock Capital Cost Rate (Ln 36 / Ln 35)</v>
      </c>
      <c r="C80" s="649">
        <f t="shared" ref="C80:J80" si="23">IF(C52=0,0,C53/C52)</f>
        <v>0</v>
      </c>
      <c r="D80" s="649"/>
      <c r="E80" s="649">
        <f t="shared" si="23"/>
        <v>0</v>
      </c>
      <c r="F80" s="649">
        <f t="shared" si="23"/>
        <v>0</v>
      </c>
      <c r="G80" s="649">
        <f t="shared" si="23"/>
        <v>0</v>
      </c>
      <c r="H80" s="649">
        <f t="shared" si="23"/>
        <v>0</v>
      </c>
      <c r="I80" s="649">
        <f t="shared" si="23"/>
        <v>0</v>
      </c>
      <c r="J80" s="649">
        <f t="shared" si="23"/>
        <v>0</v>
      </c>
    </row>
    <row r="81" spans="1:10">
      <c r="A81" s="636">
        <f>A80+1</f>
        <v>55</v>
      </c>
      <c r="B81" s="7" t="s">
        <v>538</v>
      </c>
      <c r="C81" s="649">
        <v>0.1149</v>
      </c>
      <c r="D81" s="649"/>
      <c r="E81" s="649">
        <v>0.1149</v>
      </c>
      <c r="F81" s="649">
        <v>0.1149</v>
      </c>
      <c r="G81" s="649">
        <v>0.1149</v>
      </c>
      <c r="H81" s="649">
        <v>0.1149</v>
      </c>
      <c r="I81" s="649">
        <v>0.1149</v>
      </c>
      <c r="J81" s="649">
        <v>0.1149</v>
      </c>
    </row>
    <row r="83" spans="1:10" ht="15">
      <c r="A83" s="607" t="s">
        <v>539</v>
      </c>
    </row>
    <row r="84" spans="1:10">
      <c r="A84" s="636">
        <f>A81+1</f>
        <v>56</v>
      </c>
      <c r="B84" s="7" t="str">
        <f>"LTD Weighted Capital Cost Rate (Ln "&amp;A68&amp;" * Ln "&amp;A79&amp;")"</f>
        <v>LTD Weighted Capital Cost Rate (Ln 46 * Ln 53)</v>
      </c>
      <c r="C84" s="649" t="e">
        <f>C68*C79</f>
        <v>#DIV/0!</v>
      </c>
      <c r="D84" s="649"/>
      <c r="E84" s="649" t="e">
        <f t="shared" ref="E84:J84" si="24">E68*E79</f>
        <v>#DIV/0!</v>
      </c>
      <c r="F84" s="649" t="e">
        <f t="shared" si="24"/>
        <v>#DIV/0!</v>
      </c>
      <c r="G84" s="649" t="e">
        <f t="shared" si="24"/>
        <v>#DIV/0!</v>
      </c>
      <c r="H84" s="649" t="e">
        <f t="shared" si="24"/>
        <v>#DIV/0!</v>
      </c>
      <c r="I84" s="649" t="e">
        <f t="shared" si="24"/>
        <v>#DIV/0!</v>
      </c>
      <c r="J84" s="649" t="e">
        <f t="shared" si="24"/>
        <v>#DIV/0!</v>
      </c>
    </row>
    <row r="85" spans="1:10">
      <c r="A85" s="636">
        <f>A84+1</f>
        <v>57</v>
      </c>
      <c r="B85" s="7" t="str">
        <f>"Preferred Stock Capital Cost Rate (Ln "&amp;A69&amp;" * Ln "&amp;A80&amp;")"</f>
        <v>Preferred Stock Capital Cost Rate (Ln 47 * Ln 54)</v>
      </c>
      <c r="C85" s="649" t="e">
        <f>C69*C80</f>
        <v>#DIV/0!</v>
      </c>
      <c r="D85" s="649"/>
      <c r="E85" s="649" t="e">
        <f t="shared" ref="E85:J85" si="25">E69*E80</f>
        <v>#DIV/0!</v>
      </c>
      <c r="F85" s="649" t="e">
        <f t="shared" si="25"/>
        <v>#DIV/0!</v>
      </c>
      <c r="G85" s="649" t="e">
        <f t="shared" si="25"/>
        <v>#DIV/0!</v>
      </c>
      <c r="H85" s="649" t="e">
        <f t="shared" si="25"/>
        <v>#DIV/0!</v>
      </c>
      <c r="I85" s="649" t="e">
        <f t="shared" si="25"/>
        <v>#DIV/0!</v>
      </c>
      <c r="J85" s="649" t="e">
        <f t="shared" si="25"/>
        <v>#DIV/0!</v>
      </c>
    </row>
    <row r="86" spans="1:10">
      <c r="A86" s="636">
        <f>A85+1</f>
        <v>58</v>
      </c>
      <c r="B86" s="7" t="str">
        <f>"Common Equity Capital Cost Rate (Ln "&amp;A70&amp;" * Ln "&amp;A81&amp;")"</f>
        <v>Common Equity Capital Cost Rate (Ln 48 * Ln 55)</v>
      </c>
      <c r="C86" s="652" t="e">
        <f>C70*C81</f>
        <v>#DIV/0!</v>
      </c>
      <c r="D86" s="652"/>
      <c r="E86" s="652" t="e">
        <f t="shared" ref="E86:J86" si="26">E70*E81</f>
        <v>#DIV/0!</v>
      </c>
      <c r="F86" s="652" t="e">
        <f t="shared" si="26"/>
        <v>#DIV/0!</v>
      </c>
      <c r="G86" s="652" t="e">
        <f t="shared" si="26"/>
        <v>#DIV/0!</v>
      </c>
      <c r="H86" s="652" t="e">
        <f t="shared" si="26"/>
        <v>#DIV/0!</v>
      </c>
      <c r="I86" s="652" t="e">
        <f t="shared" si="26"/>
        <v>#DIV/0!</v>
      </c>
      <c r="J86" s="652" t="e">
        <f t="shared" si="26"/>
        <v>#DIV/0!</v>
      </c>
    </row>
    <row r="87" spans="1:10">
      <c r="A87" s="636">
        <f>A86+1</f>
        <v>59</v>
      </c>
      <c r="B87" s="642" t="s">
        <v>536</v>
      </c>
      <c r="C87" s="653" t="e">
        <f t="shared" ref="C87:J87" si="27">SUM(C84:C86)</f>
        <v>#DIV/0!</v>
      </c>
      <c r="D87" s="653"/>
      <c r="E87" s="653" t="e">
        <f t="shared" si="27"/>
        <v>#DIV/0!</v>
      </c>
      <c r="F87" s="653" t="e">
        <f t="shared" si="27"/>
        <v>#DIV/0!</v>
      </c>
      <c r="G87" s="653" t="e">
        <f t="shared" si="27"/>
        <v>#DIV/0!</v>
      </c>
      <c r="H87" s="653" t="e">
        <f t="shared" si="27"/>
        <v>#DIV/0!</v>
      </c>
      <c r="I87" s="653" t="e">
        <f t="shared" si="27"/>
        <v>#DIV/0!</v>
      </c>
      <c r="J87" s="653" t="e">
        <f t="shared" si="27"/>
        <v>#DIV/0!</v>
      </c>
    </row>
    <row r="90" spans="1:10">
      <c r="A90" s="1225" t="s">
        <v>515</v>
      </c>
      <c r="B90" s="1225"/>
      <c r="C90" s="1225"/>
      <c r="D90" s="1225"/>
      <c r="E90" s="1225"/>
      <c r="F90" s="1225"/>
      <c r="G90" s="1225"/>
      <c r="H90" s="1225"/>
      <c r="I90" s="1225"/>
      <c r="J90" s="1225"/>
    </row>
    <row r="91" spans="1:10">
      <c r="A91" s="1225" t="str">
        <f>"Consolidation of Operating Companies' Capital Structure @ December 31, "&amp;TCOS!L4-1&amp;""</f>
        <v>Consolidation of Operating Companies' Capital Structure @ December 31, 2024</v>
      </c>
      <c r="B91" s="1225"/>
      <c r="C91" s="1225"/>
      <c r="D91" s="1225"/>
      <c r="E91" s="1225"/>
      <c r="F91" s="1225"/>
      <c r="G91" s="1225"/>
      <c r="H91" s="1225"/>
      <c r="I91" s="1225"/>
      <c r="J91" s="1225"/>
    </row>
    <row r="92" spans="1:10">
      <c r="A92" s="1225" t="s">
        <v>257</v>
      </c>
      <c r="B92" s="1225"/>
      <c r="C92" s="1225"/>
      <c r="D92" s="1225"/>
      <c r="E92" s="1225"/>
      <c r="F92" s="1225"/>
      <c r="G92" s="1225"/>
      <c r="H92" s="1225"/>
      <c r="I92" s="1225"/>
      <c r="J92" s="1225"/>
    </row>
    <row r="93" spans="1:10">
      <c r="B93" s="647"/>
    </row>
    <row r="94" spans="1:10" ht="76.5">
      <c r="A94" s="636" t="s">
        <v>469</v>
      </c>
      <c r="C94" s="637" t="s">
        <v>516</v>
      </c>
      <c r="D94" s="637"/>
      <c r="E94" s="637" t="s">
        <v>517</v>
      </c>
      <c r="F94" s="637" t="s">
        <v>518</v>
      </c>
      <c r="G94" s="637" t="s">
        <v>519</v>
      </c>
      <c r="H94" s="637" t="s">
        <v>520</v>
      </c>
      <c r="I94" s="637" t="s">
        <v>521</v>
      </c>
      <c r="J94" s="637" t="s">
        <v>522</v>
      </c>
    </row>
    <row r="95" spans="1:10" ht="15">
      <c r="A95" s="607" t="s">
        <v>523</v>
      </c>
    </row>
    <row r="96" spans="1:10">
      <c r="A96" s="636">
        <f>A87+1</f>
        <v>60</v>
      </c>
      <c r="B96" s="75" t="s">
        <v>346</v>
      </c>
      <c r="C96" s="608"/>
      <c r="D96" s="608"/>
      <c r="E96" s="608"/>
      <c r="F96" s="608"/>
      <c r="G96" s="608"/>
      <c r="H96" s="608"/>
      <c r="I96" s="608"/>
      <c r="J96" s="595">
        <f>SUM(C96:I96)</f>
        <v>0</v>
      </c>
    </row>
    <row r="97" spans="1:10">
      <c r="A97" s="636">
        <f>A96+1</f>
        <v>61</v>
      </c>
      <c r="B97" s="75" t="s">
        <v>347</v>
      </c>
      <c r="C97" s="608"/>
      <c r="D97" s="608"/>
      <c r="E97" s="608"/>
      <c r="F97" s="608"/>
      <c r="G97" s="608"/>
      <c r="H97" s="608"/>
      <c r="I97" s="608"/>
      <c r="J97" s="595">
        <f>SUM(C97:I97)</f>
        <v>0</v>
      </c>
    </row>
    <row r="98" spans="1:10">
      <c r="A98" s="636">
        <f>A97+1</f>
        <v>62</v>
      </c>
      <c r="B98" s="14" t="s">
        <v>23</v>
      </c>
      <c r="C98" s="608"/>
      <c r="D98" s="608"/>
      <c r="E98" s="608"/>
      <c r="F98" s="608"/>
      <c r="G98" s="608"/>
      <c r="H98" s="608"/>
      <c r="I98" s="608"/>
      <c r="J98" s="595">
        <f>SUM(C98:I98)</f>
        <v>0</v>
      </c>
    </row>
    <row r="99" spans="1:10">
      <c r="A99" s="636">
        <f>A98+1</f>
        <v>63</v>
      </c>
      <c r="B99" s="14" t="s">
        <v>17</v>
      </c>
      <c r="C99" s="608"/>
      <c r="D99" s="608"/>
      <c r="E99" s="608"/>
      <c r="F99" s="608"/>
      <c r="G99" s="608"/>
      <c r="H99" s="608"/>
      <c r="I99" s="608"/>
      <c r="J99" s="595">
        <f>SUM(C99:I99)</f>
        <v>0</v>
      </c>
    </row>
    <row r="100" spans="1:10">
      <c r="A100" s="636">
        <f>A99+1</f>
        <v>64</v>
      </c>
      <c r="B100" s="14" t="str">
        <f>"Less: Fair Value Hedges (See Note on Ln "&amp;A103&amp;" below)"</f>
        <v>Less: Fair Value Hedges (See Note on Ln 66 below)</v>
      </c>
      <c r="C100" s="119"/>
      <c r="D100" s="119"/>
      <c r="E100" s="119"/>
      <c r="F100" s="119"/>
      <c r="G100" s="119"/>
      <c r="H100" s="119"/>
      <c r="I100" s="119"/>
      <c r="J100" s="638">
        <f>SUM(C100:I100)</f>
        <v>0</v>
      </c>
    </row>
    <row r="101" spans="1:10">
      <c r="A101" s="636">
        <f>A100+1</f>
        <v>65</v>
      </c>
      <c r="B101" s="13" t="s">
        <v>67</v>
      </c>
      <c r="C101" s="639">
        <f t="shared" ref="C101:J101" si="28">C96-C97+C98+C99-C100</f>
        <v>0</v>
      </c>
      <c r="D101" s="639"/>
      <c r="E101" s="639">
        <f t="shared" si="28"/>
        <v>0</v>
      </c>
      <c r="F101" s="639">
        <f t="shared" si="28"/>
        <v>0</v>
      </c>
      <c r="G101" s="639">
        <f t="shared" si="28"/>
        <v>0</v>
      </c>
      <c r="H101" s="639">
        <f t="shared" si="28"/>
        <v>0</v>
      </c>
      <c r="I101" s="639">
        <f t="shared" si="28"/>
        <v>0</v>
      </c>
      <c r="J101" s="639">
        <f t="shared" si="28"/>
        <v>0</v>
      </c>
    </row>
    <row r="103" spans="1:10">
      <c r="A103" s="636">
        <f>A101+1</f>
        <v>66</v>
      </c>
      <c r="B103" s="1224" t="s">
        <v>66</v>
      </c>
      <c r="C103" s="1224"/>
      <c r="D103" s="1224"/>
      <c r="E103" s="1224"/>
      <c r="F103" s="1224"/>
      <c r="G103" s="1224"/>
      <c r="H103" s="1224"/>
      <c r="I103" s="1224"/>
      <c r="J103" s="1224"/>
    </row>
    <row r="104" spans="1:10">
      <c r="B104" s="640"/>
      <c r="C104" s="640"/>
      <c r="D104" s="640"/>
      <c r="E104" s="640"/>
      <c r="F104" s="640"/>
      <c r="G104" s="640"/>
      <c r="H104" s="640"/>
      <c r="I104" s="640"/>
      <c r="J104" s="640"/>
    </row>
    <row r="105" spans="1:10" ht="15">
      <c r="A105" s="607" t="s">
        <v>524</v>
      </c>
    </row>
    <row r="106" spans="1:10">
      <c r="A106" s="636">
        <f>A103+1</f>
        <v>67</v>
      </c>
      <c r="B106" s="75" t="s">
        <v>348</v>
      </c>
      <c r="C106" s="118"/>
      <c r="D106" s="118"/>
      <c r="E106" s="118"/>
      <c r="F106" s="118"/>
      <c r="G106" s="118"/>
      <c r="H106" s="118"/>
      <c r="I106" s="118"/>
      <c r="J106" s="349">
        <f t="shared" ref="J106:J111" si="29">SUM(C106:I106)</f>
        <v>0</v>
      </c>
    </row>
    <row r="107" spans="1:10">
      <c r="A107" s="636">
        <f t="shared" ref="A107:A112" si="30">A106+1</f>
        <v>68</v>
      </c>
      <c r="B107" s="75" t="s">
        <v>341</v>
      </c>
      <c r="C107" s="118"/>
      <c r="D107" s="118"/>
      <c r="E107" s="118"/>
      <c r="F107" s="118"/>
      <c r="G107" s="118"/>
      <c r="H107" s="118"/>
      <c r="I107" s="118"/>
      <c r="J107" s="349">
        <f t="shared" si="29"/>
        <v>0</v>
      </c>
    </row>
    <row r="108" spans="1:10">
      <c r="A108" s="636">
        <f t="shared" si="30"/>
        <v>69</v>
      </c>
      <c r="B108" s="75" t="s">
        <v>342</v>
      </c>
      <c r="C108" s="118"/>
      <c r="D108" s="118"/>
      <c r="E108" s="118"/>
      <c r="F108" s="118"/>
      <c r="G108" s="118"/>
      <c r="H108" s="118"/>
      <c r="I108" s="118"/>
      <c r="J108" s="349">
        <f t="shared" si="29"/>
        <v>0</v>
      </c>
    </row>
    <row r="109" spans="1:10">
      <c r="A109" s="636">
        <f t="shared" si="30"/>
        <v>70</v>
      </c>
      <c r="B109" s="75" t="s">
        <v>343</v>
      </c>
      <c r="C109" s="608"/>
      <c r="D109" s="608"/>
      <c r="E109" s="608"/>
      <c r="F109" s="608"/>
      <c r="G109" s="608"/>
      <c r="H109" s="608"/>
      <c r="I109" s="608"/>
      <c r="J109" s="595">
        <f t="shared" si="29"/>
        <v>0</v>
      </c>
    </row>
    <row r="110" spans="1:10">
      <c r="A110" s="636">
        <f t="shared" si="30"/>
        <v>71</v>
      </c>
      <c r="B110" s="75" t="s">
        <v>344</v>
      </c>
      <c r="C110" s="608"/>
      <c r="D110" s="608"/>
      <c r="E110" s="608"/>
      <c r="F110" s="608"/>
      <c r="G110" s="608"/>
      <c r="H110" s="608"/>
      <c r="I110" s="608"/>
      <c r="J110" s="595">
        <f t="shared" si="29"/>
        <v>0</v>
      </c>
    </row>
    <row r="111" spans="1:10">
      <c r="A111" s="636">
        <f t="shared" si="30"/>
        <v>72</v>
      </c>
      <c r="B111" s="641" t="s">
        <v>525</v>
      </c>
      <c r="C111" s="119"/>
      <c r="D111" s="119"/>
      <c r="E111" s="119"/>
      <c r="F111" s="119"/>
      <c r="G111" s="119"/>
      <c r="H111" s="119"/>
      <c r="I111" s="119"/>
      <c r="J111" s="638">
        <f t="shared" si="29"/>
        <v>0</v>
      </c>
    </row>
    <row r="112" spans="1:10">
      <c r="A112" s="636">
        <f t="shared" si="30"/>
        <v>73</v>
      </c>
      <c r="B112" s="642" t="s">
        <v>68</v>
      </c>
      <c r="C112" s="643">
        <f t="shared" ref="C112:J112" si="31">C106+C107+C108-C109-C110-C111</f>
        <v>0</v>
      </c>
      <c r="D112" s="643"/>
      <c r="E112" s="643">
        <f t="shared" si="31"/>
        <v>0</v>
      </c>
      <c r="F112" s="643">
        <f t="shared" si="31"/>
        <v>0</v>
      </c>
      <c r="G112" s="643">
        <f t="shared" si="31"/>
        <v>0</v>
      </c>
      <c r="H112" s="643">
        <f t="shared" si="31"/>
        <v>0</v>
      </c>
      <c r="I112" s="643">
        <f t="shared" si="31"/>
        <v>0</v>
      </c>
      <c r="J112" s="643">
        <f t="shared" si="31"/>
        <v>0</v>
      </c>
    </row>
    <row r="114" spans="1:10" ht="15">
      <c r="A114" s="607" t="s">
        <v>526</v>
      </c>
      <c r="B114" s="644"/>
      <c r="C114" s="644"/>
      <c r="D114" s="644"/>
      <c r="E114" s="644"/>
    </row>
    <row r="115" spans="1:10">
      <c r="A115" s="636">
        <f>A112+1</f>
        <v>74</v>
      </c>
      <c r="B115" s="76" t="s">
        <v>527</v>
      </c>
      <c r="C115" s="609"/>
      <c r="D115" s="660"/>
      <c r="E115" s="661"/>
      <c r="F115" s="660"/>
      <c r="G115" s="660"/>
      <c r="H115" s="609"/>
      <c r="I115" s="660"/>
      <c r="J115" s="645"/>
    </row>
    <row r="116" spans="1:10">
      <c r="A116" s="636">
        <f>A115+1</f>
        <v>75</v>
      </c>
      <c r="B116" s="76" t="s">
        <v>528</v>
      </c>
      <c r="C116" s="610"/>
      <c r="D116" s="662"/>
      <c r="E116" s="610"/>
      <c r="F116" s="662"/>
      <c r="G116" s="662"/>
      <c r="H116" s="610"/>
      <c r="I116" s="662"/>
      <c r="J116" s="646"/>
    </row>
    <row r="117" spans="1:10">
      <c r="A117" s="636">
        <f>A116+1</f>
        <v>76</v>
      </c>
      <c r="B117" s="76" t="s">
        <v>529</v>
      </c>
      <c r="C117" s="118"/>
      <c r="D117" s="663"/>
      <c r="E117" s="118"/>
      <c r="F117" s="663"/>
      <c r="G117" s="663"/>
      <c r="H117" s="118"/>
      <c r="I117" s="663"/>
    </row>
    <row r="118" spans="1:10">
      <c r="A118" s="636">
        <f>A117+1</f>
        <v>77</v>
      </c>
      <c r="B118" s="76" t="str">
        <f>"Monetary Value (Ln "&amp;A116&amp;" * Ln "&amp;A117&amp;")"</f>
        <v>Monetary Value (Ln 75 * Ln 76)</v>
      </c>
      <c r="C118" s="348">
        <f t="shared" ref="C118:I118" si="32">C116*C117</f>
        <v>0</v>
      </c>
      <c r="D118" s="348"/>
      <c r="E118" s="348">
        <f t="shared" si="32"/>
        <v>0</v>
      </c>
      <c r="F118" s="348">
        <f t="shared" si="32"/>
        <v>0</v>
      </c>
      <c r="G118" s="348">
        <f t="shared" si="32"/>
        <v>0</v>
      </c>
      <c r="H118" s="348">
        <f t="shared" si="32"/>
        <v>0</v>
      </c>
      <c r="I118" s="348">
        <f t="shared" si="32"/>
        <v>0</v>
      </c>
      <c r="J118" s="643">
        <f>SUM(C118:I118)</f>
        <v>0</v>
      </c>
    </row>
    <row r="119" spans="1:10">
      <c r="A119" s="636">
        <f>A118+1</f>
        <v>78</v>
      </c>
      <c r="B119" s="76" t="str">
        <f>"Dividend Amount (Ln "&amp;A115&amp;" * Ln "&amp;A118&amp;")"</f>
        <v>Dividend Amount (Ln 74 * Ln 77)</v>
      </c>
      <c r="C119" s="348">
        <f t="shared" ref="C119:I119" si="33">C118*C115</f>
        <v>0</v>
      </c>
      <c r="D119" s="348"/>
      <c r="E119" s="348">
        <f t="shared" si="33"/>
        <v>0</v>
      </c>
      <c r="F119" s="348">
        <f t="shared" si="33"/>
        <v>0</v>
      </c>
      <c r="G119" s="348">
        <f t="shared" si="33"/>
        <v>0</v>
      </c>
      <c r="H119" s="348">
        <f t="shared" si="33"/>
        <v>0</v>
      </c>
      <c r="I119" s="348">
        <f t="shared" si="33"/>
        <v>0</v>
      </c>
      <c r="J119" s="643">
        <f>SUM(C119:I119)</f>
        <v>0</v>
      </c>
    </row>
    <row r="121" spans="1:10">
      <c r="A121" s="636">
        <f>A119+1</f>
        <v>79</v>
      </c>
      <c r="B121" s="76" t="s">
        <v>527</v>
      </c>
      <c r="C121" s="609"/>
      <c r="D121" s="660"/>
      <c r="E121" s="661"/>
      <c r="F121" s="660"/>
      <c r="G121" s="660"/>
      <c r="H121" s="609"/>
      <c r="I121" s="660"/>
    </row>
    <row r="122" spans="1:10">
      <c r="A122" s="636">
        <f>A121+1</f>
        <v>80</v>
      </c>
      <c r="B122" s="76" t="s">
        <v>528</v>
      </c>
      <c r="C122" s="610"/>
      <c r="D122" s="662"/>
      <c r="E122" s="610"/>
      <c r="F122" s="662"/>
      <c r="G122" s="662"/>
      <c r="H122" s="610"/>
      <c r="I122" s="662"/>
    </row>
    <row r="123" spans="1:10">
      <c r="A123" s="636">
        <f>A122+1</f>
        <v>81</v>
      </c>
      <c r="B123" s="76" t="s">
        <v>529</v>
      </c>
      <c r="C123" s="118"/>
      <c r="D123" s="663"/>
      <c r="E123" s="118"/>
      <c r="F123" s="663"/>
      <c r="G123" s="663"/>
      <c r="H123" s="118"/>
      <c r="I123" s="663"/>
    </row>
    <row r="124" spans="1:10">
      <c r="A124" s="636">
        <f>A123+1</f>
        <v>82</v>
      </c>
      <c r="B124" s="76" t="str">
        <f>"Monetary Value (Ln "&amp;A122&amp;" * Ln "&amp;A123&amp;")"</f>
        <v>Monetary Value (Ln 80 * Ln 81)</v>
      </c>
      <c r="C124" s="348">
        <f t="shared" ref="C124:I124" si="34">C122*C123</f>
        <v>0</v>
      </c>
      <c r="D124" s="348"/>
      <c r="E124" s="348">
        <f t="shared" si="34"/>
        <v>0</v>
      </c>
      <c r="F124" s="348">
        <f t="shared" si="34"/>
        <v>0</v>
      </c>
      <c r="G124" s="348">
        <f t="shared" si="34"/>
        <v>0</v>
      </c>
      <c r="H124" s="348">
        <f t="shared" si="34"/>
        <v>0</v>
      </c>
      <c r="I124" s="348">
        <f t="shared" si="34"/>
        <v>0</v>
      </c>
      <c r="J124" s="643">
        <f>SUM(C124:I124)</f>
        <v>0</v>
      </c>
    </row>
    <row r="125" spans="1:10">
      <c r="A125" s="636">
        <f>A124+1</f>
        <v>83</v>
      </c>
      <c r="B125" s="76" t="str">
        <f>"Dividend Amount (Ln "&amp;A121&amp;" * Ln "&amp;A124&amp;")"</f>
        <v>Dividend Amount (Ln 79 * Ln 82)</v>
      </c>
      <c r="C125" s="348">
        <f t="shared" ref="C125:I125" si="35">C124*C121</f>
        <v>0</v>
      </c>
      <c r="D125" s="348"/>
      <c r="E125" s="348">
        <f t="shared" si="35"/>
        <v>0</v>
      </c>
      <c r="F125" s="348">
        <f t="shared" si="35"/>
        <v>0</v>
      </c>
      <c r="G125" s="348">
        <f t="shared" si="35"/>
        <v>0</v>
      </c>
      <c r="H125" s="348">
        <f t="shared" si="35"/>
        <v>0</v>
      </c>
      <c r="I125" s="348">
        <f t="shared" si="35"/>
        <v>0</v>
      </c>
      <c r="J125" s="643">
        <f>SUM(C125:I125)</f>
        <v>0</v>
      </c>
    </row>
    <row r="127" spans="1:10">
      <c r="A127" s="636">
        <f>A125+1</f>
        <v>84</v>
      </c>
      <c r="B127" s="76" t="s">
        <v>527</v>
      </c>
      <c r="C127" s="609"/>
      <c r="D127" s="660"/>
      <c r="E127" s="661"/>
      <c r="F127" s="660"/>
      <c r="G127" s="660"/>
      <c r="H127" s="609"/>
      <c r="I127" s="660"/>
    </row>
    <row r="128" spans="1:10">
      <c r="A128" s="636">
        <f>A127+1</f>
        <v>85</v>
      </c>
      <c r="B128" s="76" t="s">
        <v>528</v>
      </c>
      <c r="C128" s="610"/>
      <c r="D128" s="662"/>
      <c r="E128" s="610"/>
      <c r="F128" s="662"/>
      <c r="G128" s="662"/>
      <c r="H128" s="610"/>
      <c r="I128" s="662"/>
    </row>
    <row r="129" spans="1:10">
      <c r="A129" s="636">
        <f>A128+1</f>
        <v>86</v>
      </c>
      <c r="B129" s="76" t="s">
        <v>529</v>
      </c>
      <c r="C129" s="118"/>
      <c r="D129" s="663"/>
      <c r="E129" s="118"/>
      <c r="F129" s="663"/>
      <c r="G129" s="663"/>
      <c r="H129" s="118"/>
      <c r="I129" s="663"/>
    </row>
    <row r="130" spans="1:10">
      <c r="A130" s="636">
        <f>A129+1</f>
        <v>87</v>
      </c>
      <c r="B130" s="76" t="str">
        <f>"Monetary Value (Ln "&amp;A128&amp;" * Ln "&amp;A129&amp;")"</f>
        <v>Monetary Value (Ln 85 * Ln 86)</v>
      </c>
      <c r="C130" s="348">
        <f t="shared" ref="C130:I130" si="36">C128*C129</f>
        <v>0</v>
      </c>
      <c r="D130" s="348"/>
      <c r="E130" s="348">
        <f t="shared" si="36"/>
        <v>0</v>
      </c>
      <c r="F130" s="348">
        <f t="shared" si="36"/>
        <v>0</v>
      </c>
      <c r="G130" s="348">
        <f t="shared" si="36"/>
        <v>0</v>
      </c>
      <c r="H130" s="348">
        <f t="shared" si="36"/>
        <v>0</v>
      </c>
      <c r="I130" s="348">
        <f t="shared" si="36"/>
        <v>0</v>
      </c>
      <c r="J130" s="643">
        <f>SUM(C130:I130)</f>
        <v>0</v>
      </c>
    </row>
    <row r="131" spans="1:10">
      <c r="A131" s="636">
        <f>A130+1</f>
        <v>88</v>
      </c>
      <c r="B131" s="76" t="str">
        <f>"Dividend Amount (Ln "&amp;A127&amp;" * Ln "&amp;A130&amp;")"</f>
        <v>Dividend Amount (Ln 84 * Ln 87)</v>
      </c>
      <c r="C131" s="348">
        <f t="shared" ref="C131:I131" si="37">C130*C127</f>
        <v>0</v>
      </c>
      <c r="D131" s="348"/>
      <c r="E131" s="348">
        <f t="shared" si="37"/>
        <v>0</v>
      </c>
      <c r="F131" s="348">
        <f t="shared" si="37"/>
        <v>0</v>
      </c>
      <c r="G131" s="348">
        <f t="shared" si="37"/>
        <v>0</v>
      </c>
      <c r="H131" s="348">
        <f t="shared" si="37"/>
        <v>0</v>
      </c>
      <c r="I131" s="348">
        <f t="shared" si="37"/>
        <v>0</v>
      </c>
      <c r="J131" s="643">
        <f>SUM(C131:I131)</f>
        <v>0</v>
      </c>
    </row>
    <row r="133" spans="1:10">
      <c r="A133" s="636">
        <f>A131+1</f>
        <v>89</v>
      </c>
      <c r="B133" s="76" t="s">
        <v>527</v>
      </c>
      <c r="C133" s="609"/>
      <c r="D133" s="660"/>
      <c r="E133" s="661"/>
      <c r="F133" s="660"/>
      <c r="G133" s="660"/>
      <c r="H133" s="609"/>
      <c r="I133" s="660"/>
    </row>
    <row r="134" spans="1:10">
      <c r="A134" s="636">
        <f>A133+1</f>
        <v>90</v>
      </c>
      <c r="B134" s="76" t="s">
        <v>528</v>
      </c>
      <c r="C134" s="610"/>
      <c r="D134" s="662"/>
      <c r="E134" s="610"/>
      <c r="F134" s="662"/>
      <c r="G134" s="662"/>
      <c r="H134" s="610"/>
      <c r="I134" s="662"/>
    </row>
    <row r="135" spans="1:10">
      <c r="A135" s="636">
        <f>A134+1</f>
        <v>91</v>
      </c>
      <c r="B135" s="76" t="s">
        <v>529</v>
      </c>
      <c r="C135" s="118"/>
      <c r="D135" s="663"/>
      <c r="E135" s="118"/>
      <c r="F135" s="663"/>
      <c r="G135" s="663"/>
      <c r="H135" s="118"/>
      <c r="I135" s="663"/>
    </row>
    <row r="136" spans="1:10">
      <c r="A136" s="636">
        <f>A135+1</f>
        <v>92</v>
      </c>
      <c r="B136" s="76" t="str">
        <f>"Monetary Value (Ln "&amp;A134&amp;" * Ln "&amp;A135&amp;")"</f>
        <v>Monetary Value (Ln 90 * Ln 91)</v>
      </c>
      <c r="C136" s="348">
        <f t="shared" ref="C136:I136" si="38">C134*C135</f>
        <v>0</v>
      </c>
      <c r="D136" s="348"/>
      <c r="E136" s="348">
        <f t="shared" si="38"/>
        <v>0</v>
      </c>
      <c r="F136" s="348">
        <f t="shared" si="38"/>
        <v>0</v>
      </c>
      <c r="G136" s="348">
        <f t="shared" si="38"/>
        <v>0</v>
      </c>
      <c r="H136" s="348">
        <f t="shared" si="38"/>
        <v>0</v>
      </c>
      <c r="I136" s="348">
        <f t="shared" si="38"/>
        <v>0</v>
      </c>
      <c r="J136" s="643">
        <f>SUM(C136:I136)</f>
        <v>0</v>
      </c>
    </row>
    <row r="137" spans="1:10">
      <c r="A137" s="636">
        <f>A136+1</f>
        <v>93</v>
      </c>
      <c r="B137" s="76" t="str">
        <f>"Dividend Amount (Ln "&amp;A133&amp;" * Ln "&amp;A136&amp;")"</f>
        <v>Dividend Amount (Ln 89 * Ln 92)</v>
      </c>
      <c r="C137" s="348">
        <f t="shared" ref="C137:I137" si="39">C136*C133</f>
        <v>0</v>
      </c>
      <c r="D137" s="348"/>
      <c r="E137" s="348">
        <f t="shared" si="39"/>
        <v>0</v>
      </c>
      <c r="F137" s="348">
        <f t="shared" si="39"/>
        <v>0</v>
      </c>
      <c r="G137" s="348">
        <f t="shared" si="39"/>
        <v>0</v>
      </c>
      <c r="H137" s="348">
        <f t="shared" si="39"/>
        <v>0</v>
      </c>
      <c r="I137" s="348">
        <f t="shared" si="39"/>
        <v>0</v>
      </c>
      <c r="J137" s="643">
        <f>SUM(C137:I137)</f>
        <v>0</v>
      </c>
    </row>
    <row r="138" spans="1:10">
      <c r="B138" s="76"/>
    </row>
    <row r="139" spans="1:10">
      <c r="A139" s="636">
        <f>A137+1</f>
        <v>94</v>
      </c>
      <c r="B139" s="351" t="str">
        <f>"Preferred Stock (Lns "&amp;A118&amp;", "&amp;A124&amp;", "&amp;A130&amp;","&amp;A136&amp;")"</f>
        <v>Preferred Stock (Lns 77, 82, 87,92)</v>
      </c>
      <c r="C139" s="643">
        <f t="shared" ref="C139:I140" si="40">C118+C124+C130+C136</f>
        <v>0</v>
      </c>
      <c r="D139" s="643"/>
      <c r="E139" s="643">
        <f t="shared" si="40"/>
        <v>0</v>
      </c>
      <c r="F139" s="643">
        <f t="shared" si="40"/>
        <v>0</v>
      </c>
      <c r="G139" s="643">
        <f t="shared" si="40"/>
        <v>0</v>
      </c>
      <c r="H139" s="643">
        <f t="shared" si="40"/>
        <v>0</v>
      </c>
      <c r="I139" s="643">
        <f t="shared" si="40"/>
        <v>0</v>
      </c>
      <c r="J139" s="643">
        <f>SUM(C139:I139)</f>
        <v>0</v>
      </c>
    </row>
    <row r="140" spans="1:10">
      <c r="A140" s="636">
        <f>A139+1</f>
        <v>95</v>
      </c>
      <c r="B140" s="351" t="str">
        <f>"Preferred Dividends (Lns "&amp;A119&amp;", "&amp;A125&amp;", "&amp;A131&amp;","&amp;A137&amp;")"</f>
        <v>Preferred Dividends (Lns 78, 83, 88,93)</v>
      </c>
      <c r="C140" s="643">
        <f t="shared" si="40"/>
        <v>0</v>
      </c>
      <c r="D140" s="643"/>
      <c r="E140" s="643">
        <f t="shared" si="40"/>
        <v>0</v>
      </c>
      <c r="F140" s="643">
        <f t="shared" si="40"/>
        <v>0</v>
      </c>
      <c r="G140" s="643">
        <f t="shared" si="40"/>
        <v>0</v>
      </c>
      <c r="H140" s="643">
        <f t="shared" si="40"/>
        <v>0</v>
      </c>
      <c r="I140" s="643">
        <f t="shared" si="40"/>
        <v>0</v>
      </c>
      <c r="J140" s="643">
        <f>SUM(C140:I140)</f>
        <v>0</v>
      </c>
    </row>
    <row r="141" spans="1:10">
      <c r="B141" s="647"/>
    </row>
    <row r="142" spans="1:10" ht="15">
      <c r="A142" s="607" t="s">
        <v>530</v>
      </c>
    </row>
    <row r="143" spans="1:10">
      <c r="A143" s="636">
        <f>A140+1</f>
        <v>96</v>
      </c>
      <c r="B143" s="457" t="s">
        <v>531</v>
      </c>
      <c r="C143" s="118"/>
      <c r="D143" s="118"/>
      <c r="E143" s="118"/>
      <c r="F143" s="118"/>
      <c r="G143" s="118"/>
      <c r="H143" s="118"/>
      <c r="I143" s="118"/>
      <c r="J143" s="643">
        <f>SUM(C143:I143)</f>
        <v>0</v>
      </c>
    </row>
    <row r="144" spans="1:10">
      <c r="A144" s="636">
        <f>A143+1</f>
        <v>97</v>
      </c>
      <c r="B144" s="457" t="str">
        <f>"Less: Preferred Stock (Ln "&amp;A139&amp;" Above)"</f>
        <v>Less: Preferred Stock (Ln 94 Above)</v>
      </c>
      <c r="C144" s="349">
        <f>C139</f>
        <v>0</v>
      </c>
      <c r="D144" s="349"/>
      <c r="E144" s="349">
        <f>E139</f>
        <v>0</v>
      </c>
      <c r="F144" s="349">
        <f>F139</f>
        <v>0</v>
      </c>
      <c r="G144" s="349">
        <f>G139</f>
        <v>0</v>
      </c>
      <c r="H144" s="349">
        <f>H139</f>
        <v>0</v>
      </c>
      <c r="I144" s="349">
        <f>I139</f>
        <v>0</v>
      </c>
      <c r="J144" s="643">
        <f>SUM(C144:I144)</f>
        <v>0</v>
      </c>
    </row>
    <row r="145" spans="1:10">
      <c r="A145" s="636">
        <f>A144+1</f>
        <v>98</v>
      </c>
      <c r="B145" s="457" t="s">
        <v>532</v>
      </c>
      <c r="C145" s="608"/>
      <c r="D145" s="608"/>
      <c r="E145" s="608"/>
      <c r="F145" s="608"/>
      <c r="G145" s="608"/>
      <c r="H145" s="608"/>
      <c r="I145" s="608"/>
      <c r="J145" s="643">
        <f>SUM(C145:I145)</f>
        <v>0</v>
      </c>
    </row>
    <row r="146" spans="1:10">
      <c r="A146" s="636">
        <f>A145+1</f>
        <v>99</v>
      </c>
      <c r="B146" s="457" t="s">
        <v>533</v>
      </c>
      <c r="C146" s="119"/>
      <c r="D146" s="119"/>
      <c r="E146" s="119"/>
      <c r="F146" s="119"/>
      <c r="G146" s="119"/>
      <c r="H146" s="119"/>
      <c r="I146" s="119"/>
      <c r="J146" s="648">
        <f>SUM(C146:I146)</f>
        <v>0</v>
      </c>
    </row>
    <row r="147" spans="1:10">
      <c r="A147" s="636">
        <f>A146+1</f>
        <v>100</v>
      </c>
      <c r="B147" s="461" t="s">
        <v>534</v>
      </c>
      <c r="C147" s="595">
        <f t="shared" ref="C147:J147" si="41">C143-C144-C145-C146</f>
        <v>0</v>
      </c>
      <c r="D147" s="595"/>
      <c r="E147" s="595">
        <f t="shared" si="41"/>
        <v>0</v>
      </c>
      <c r="F147" s="595">
        <f t="shared" si="41"/>
        <v>0</v>
      </c>
      <c r="G147" s="595">
        <f t="shared" si="41"/>
        <v>0</v>
      </c>
      <c r="H147" s="595">
        <f t="shared" si="41"/>
        <v>0</v>
      </c>
      <c r="I147" s="595">
        <f t="shared" si="41"/>
        <v>0</v>
      </c>
      <c r="J147" s="595">
        <f t="shared" si="41"/>
        <v>0</v>
      </c>
    </row>
    <row r="149" spans="1:10" ht="15">
      <c r="A149" s="607" t="s">
        <v>535</v>
      </c>
    </row>
    <row r="150" spans="1:10">
      <c r="A150" s="636">
        <f>A147+1</f>
        <v>101</v>
      </c>
      <c r="B150" s="7" t="str">
        <f>"Long Term Debt (Ln "&amp;A101&amp;" Above)"</f>
        <v>Long Term Debt (Ln 65 Above)</v>
      </c>
      <c r="C150" s="643">
        <f t="shared" ref="C150:J150" si="42">C101</f>
        <v>0</v>
      </c>
      <c r="D150" s="643"/>
      <c r="E150" s="643">
        <f t="shared" si="42"/>
        <v>0</v>
      </c>
      <c r="F150" s="643">
        <f t="shared" si="42"/>
        <v>0</v>
      </c>
      <c r="G150" s="643">
        <f t="shared" si="42"/>
        <v>0</v>
      </c>
      <c r="H150" s="643">
        <f t="shared" si="42"/>
        <v>0</v>
      </c>
      <c r="I150" s="643">
        <f t="shared" si="42"/>
        <v>0</v>
      </c>
      <c r="J150" s="643">
        <f t="shared" si="42"/>
        <v>0</v>
      </c>
    </row>
    <row r="151" spans="1:10">
      <c r="A151" s="636">
        <f>A150+1</f>
        <v>102</v>
      </c>
      <c r="B151" s="7" t="str">
        <f>"Preferred Stock (Ln "&amp;A139&amp;" Above)"</f>
        <v>Preferred Stock (Ln 94 Above)</v>
      </c>
      <c r="C151" s="643">
        <f t="shared" ref="C151:J151" si="43">C139</f>
        <v>0</v>
      </c>
      <c r="D151" s="643"/>
      <c r="E151" s="643">
        <f t="shared" si="43"/>
        <v>0</v>
      </c>
      <c r="F151" s="643">
        <f t="shared" si="43"/>
        <v>0</v>
      </c>
      <c r="G151" s="643">
        <f t="shared" si="43"/>
        <v>0</v>
      </c>
      <c r="H151" s="643">
        <f t="shared" si="43"/>
        <v>0</v>
      </c>
      <c r="I151" s="643">
        <f t="shared" si="43"/>
        <v>0</v>
      </c>
      <c r="J151" s="643">
        <f t="shared" si="43"/>
        <v>0</v>
      </c>
    </row>
    <row r="152" spans="1:10">
      <c r="A152" s="636">
        <f>A151+1</f>
        <v>103</v>
      </c>
      <c r="B152" s="7" t="str">
        <f>"Common Equity (Ln "&amp;A147&amp;" Above)"</f>
        <v>Common Equity (Ln 100 Above)</v>
      </c>
      <c r="C152" s="648">
        <f t="shared" ref="C152:J152" si="44">C147</f>
        <v>0</v>
      </c>
      <c r="D152" s="648"/>
      <c r="E152" s="648">
        <f t="shared" si="44"/>
        <v>0</v>
      </c>
      <c r="F152" s="648">
        <f t="shared" si="44"/>
        <v>0</v>
      </c>
      <c r="G152" s="648">
        <f t="shared" si="44"/>
        <v>0</v>
      </c>
      <c r="H152" s="648">
        <f t="shared" si="44"/>
        <v>0</v>
      </c>
      <c r="I152" s="648">
        <f t="shared" si="44"/>
        <v>0</v>
      </c>
      <c r="J152" s="648">
        <f t="shared" si="44"/>
        <v>0</v>
      </c>
    </row>
    <row r="153" spans="1:10">
      <c r="A153" s="636">
        <f>A152+1</f>
        <v>104</v>
      </c>
      <c r="B153" s="636" t="s">
        <v>536</v>
      </c>
      <c r="C153" s="643">
        <f t="shared" ref="C153:J153" si="45">SUM(C150:C152)</f>
        <v>0</v>
      </c>
      <c r="D153" s="643"/>
      <c r="E153" s="643">
        <f t="shared" si="45"/>
        <v>0</v>
      </c>
      <c r="F153" s="643">
        <f t="shared" si="45"/>
        <v>0</v>
      </c>
      <c r="G153" s="643">
        <f t="shared" si="45"/>
        <v>0</v>
      </c>
      <c r="H153" s="643">
        <f t="shared" si="45"/>
        <v>0</v>
      </c>
      <c r="I153" s="643">
        <f t="shared" si="45"/>
        <v>0</v>
      </c>
      <c r="J153" s="643">
        <f t="shared" si="45"/>
        <v>0</v>
      </c>
    </row>
    <row r="155" spans="1:10">
      <c r="A155" s="636">
        <f>A153+1</f>
        <v>105</v>
      </c>
      <c r="B155" s="7" t="str">
        <f>"LTD Capital Shares (Ln "&amp;A150&amp;" / Ln "&amp;A153&amp;")"</f>
        <v>LTD Capital Shares (Ln 101 / Ln 104)</v>
      </c>
      <c r="C155" s="649" t="e">
        <f t="shared" ref="C155:J155" si="46">C150/C153</f>
        <v>#DIV/0!</v>
      </c>
      <c r="D155" s="649"/>
      <c r="E155" s="649" t="e">
        <f t="shared" si="46"/>
        <v>#DIV/0!</v>
      </c>
      <c r="F155" s="649" t="e">
        <f t="shared" si="46"/>
        <v>#DIV/0!</v>
      </c>
      <c r="G155" s="649" t="e">
        <f t="shared" si="46"/>
        <v>#DIV/0!</v>
      </c>
      <c r="H155" s="649" t="e">
        <f t="shared" si="46"/>
        <v>#DIV/0!</v>
      </c>
      <c r="I155" s="649" t="e">
        <f t="shared" si="46"/>
        <v>#DIV/0!</v>
      </c>
      <c r="J155" s="649" t="e">
        <f t="shared" si="46"/>
        <v>#DIV/0!</v>
      </c>
    </row>
    <row r="156" spans="1:10">
      <c r="A156" s="636">
        <f>A155+1</f>
        <v>106</v>
      </c>
      <c r="B156" s="7" t="str">
        <f>"Preferred Stock Capital Shares (Ln "&amp;A151&amp;" / Ln "&amp;A153&amp;")"</f>
        <v>Preferred Stock Capital Shares (Ln 102 / Ln 104)</v>
      </c>
      <c r="C156" s="649" t="e">
        <f t="shared" ref="C156:J156" si="47">C151/C153</f>
        <v>#DIV/0!</v>
      </c>
      <c r="D156" s="649"/>
      <c r="E156" s="649" t="e">
        <f t="shared" si="47"/>
        <v>#DIV/0!</v>
      </c>
      <c r="F156" s="649" t="e">
        <f t="shared" si="47"/>
        <v>#DIV/0!</v>
      </c>
      <c r="G156" s="649" t="e">
        <f t="shared" si="47"/>
        <v>#DIV/0!</v>
      </c>
      <c r="H156" s="649" t="e">
        <f t="shared" si="47"/>
        <v>#DIV/0!</v>
      </c>
      <c r="I156" s="649" t="e">
        <f t="shared" si="47"/>
        <v>#DIV/0!</v>
      </c>
      <c r="J156" s="649" t="e">
        <f t="shared" si="47"/>
        <v>#DIV/0!</v>
      </c>
    </row>
    <row r="157" spans="1:10">
      <c r="A157" s="636">
        <f>A156+1</f>
        <v>107</v>
      </c>
      <c r="B157" s="7" t="str">
        <f>"Common Equity Capital Shares (Ln "&amp;A152&amp;" / Ln "&amp;A153&amp;")"</f>
        <v>Common Equity Capital Shares (Ln 103 / Ln 104)</v>
      </c>
      <c r="C157" s="650" t="e">
        <f t="shared" ref="C157:J157" si="48">C152/C153</f>
        <v>#DIV/0!</v>
      </c>
      <c r="D157" s="650"/>
      <c r="E157" s="650" t="e">
        <f t="shared" si="48"/>
        <v>#DIV/0!</v>
      </c>
      <c r="F157" s="650" t="e">
        <f t="shared" si="48"/>
        <v>#DIV/0!</v>
      </c>
      <c r="G157" s="650" t="e">
        <f t="shared" si="48"/>
        <v>#DIV/0!</v>
      </c>
      <c r="H157" s="650" t="e">
        <f t="shared" si="48"/>
        <v>#DIV/0!</v>
      </c>
      <c r="I157" s="650" t="e">
        <f t="shared" si="48"/>
        <v>#DIV/0!</v>
      </c>
      <c r="J157" s="650" t="e">
        <f t="shared" si="48"/>
        <v>#DIV/0!</v>
      </c>
    </row>
    <row r="158" spans="1:10">
      <c r="B158" s="7"/>
      <c r="C158" s="650"/>
      <c r="D158" s="650"/>
      <c r="E158" s="650"/>
      <c r="F158" s="650"/>
      <c r="G158" s="650"/>
      <c r="H158" s="650"/>
      <c r="I158" s="650"/>
      <c r="J158" s="650"/>
    </row>
    <row r="159" spans="1:10">
      <c r="A159" s="636">
        <f>A157+1</f>
        <v>108</v>
      </c>
      <c r="B159" s="351" t="s">
        <v>566</v>
      </c>
      <c r="C159" s="651"/>
      <c r="D159" s="651"/>
      <c r="E159" s="651"/>
      <c r="F159" s="651"/>
      <c r="G159" s="651"/>
      <c r="H159" s="651"/>
      <c r="I159" s="651"/>
      <c r="J159" s="651"/>
    </row>
    <row r="160" spans="1:10">
      <c r="B160" s="7"/>
      <c r="C160" s="650"/>
      <c r="D160" s="650"/>
      <c r="E160" s="650"/>
      <c r="F160" s="650"/>
      <c r="G160" s="650"/>
      <c r="H160" s="650"/>
      <c r="I160" s="650"/>
      <c r="J160" s="650"/>
    </row>
    <row r="161" spans="1:10">
      <c r="A161" s="636">
        <f>A159+1</f>
        <v>109</v>
      </c>
      <c r="B161" s="351" t="s">
        <v>566</v>
      </c>
      <c r="C161" s="650"/>
      <c r="D161" s="650"/>
      <c r="E161" s="650"/>
      <c r="F161" s="650"/>
      <c r="G161" s="650"/>
      <c r="H161" s="650"/>
      <c r="I161" s="650"/>
      <c r="J161" s="650"/>
    </row>
    <row r="162" spans="1:10">
      <c r="A162" s="636">
        <f>A161+1</f>
        <v>110</v>
      </c>
      <c r="B162" s="351" t="s">
        <v>566</v>
      </c>
      <c r="C162" s="650"/>
      <c r="D162" s="650"/>
      <c r="E162" s="650"/>
      <c r="F162" s="650"/>
      <c r="G162" s="650"/>
      <c r="H162" s="650"/>
      <c r="I162" s="650"/>
      <c r="J162" s="650"/>
    </row>
    <row r="163" spans="1:10">
      <c r="A163" s="636">
        <f>A162+1</f>
        <v>111</v>
      </c>
      <c r="B163" s="351" t="s">
        <v>566</v>
      </c>
      <c r="C163" s="650"/>
      <c r="D163" s="650"/>
      <c r="E163" s="650"/>
      <c r="F163" s="650"/>
      <c r="G163" s="650"/>
      <c r="H163" s="650"/>
      <c r="I163" s="650"/>
      <c r="J163" s="650"/>
    </row>
    <row r="164" spans="1:10">
      <c r="B164" s="7"/>
      <c r="C164" s="649"/>
      <c r="D164" s="649"/>
      <c r="E164" s="649"/>
      <c r="F164" s="649"/>
      <c r="G164" s="649"/>
      <c r="H164" s="649"/>
      <c r="I164" s="649"/>
      <c r="J164" s="649"/>
    </row>
    <row r="165" spans="1:10" ht="15">
      <c r="A165" s="607" t="s">
        <v>537</v>
      </c>
    </row>
    <row r="166" spans="1:10">
      <c r="A166" s="636">
        <f>A163+1</f>
        <v>112</v>
      </c>
      <c r="B166" s="7" t="str">
        <f>"LTD Capital Cost Rate (Ln "&amp;A112&amp;" / Ln "&amp;A101&amp;")"</f>
        <v>LTD Capital Cost Rate (Ln 73 / Ln 65)</v>
      </c>
      <c r="C166" s="649" t="e">
        <f t="shared" ref="C166:J166" si="49">C112/C101</f>
        <v>#DIV/0!</v>
      </c>
      <c r="D166" s="649"/>
      <c r="E166" s="649" t="e">
        <f t="shared" si="49"/>
        <v>#DIV/0!</v>
      </c>
      <c r="F166" s="649" t="e">
        <f t="shared" si="49"/>
        <v>#DIV/0!</v>
      </c>
      <c r="G166" s="649" t="e">
        <f t="shared" si="49"/>
        <v>#DIV/0!</v>
      </c>
      <c r="H166" s="649" t="e">
        <f t="shared" si="49"/>
        <v>#DIV/0!</v>
      </c>
      <c r="I166" s="649" t="e">
        <f t="shared" si="49"/>
        <v>#DIV/0!</v>
      </c>
      <c r="J166" s="649" t="e">
        <f t="shared" si="49"/>
        <v>#DIV/0!</v>
      </c>
    </row>
    <row r="167" spans="1:10">
      <c r="A167" s="636">
        <f>A166+1</f>
        <v>113</v>
      </c>
      <c r="B167" s="7" t="str">
        <f>"Preferred Stock Capital Cost Rate (Ln "&amp;A140&amp;" / Ln "&amp;A139&amp;")"</f>
        <v>Preferred Stock Capital Cost Rate (Ln 95 / Ln 94)</v>
      </c>
      <c r="C167" s="649">
        <f t="shared" ref="C167:J167" si="50">IF(C139=0,0,C140/C139)</f>
        <v>0</v>
      </c>
      <c r="D167" s="649"/>
      <c r="E167" s="649">
        <f t="shared" si="50"/>
        <v>0</v>
      </c>
      <c r="F167" s="649">
        <f t="shared" si="50"/>
        <v>0</v>
      </c>
      <c r="G167" s="649">
        <f t="shared" si="50"/>
        <v>0</v>
      </c>
      <c r="H167" s="649">
        <f t="shared" si="50"/>
        <v>0</v>
      </c>
      <c r="I167" s="649">
        <f t="shared" si="50"/>
        <v>0</v>
      </c>
      <c r="J167" s="649">
        <f t="shared" si="50"/>
        <v>0</v>
      </c>
    </row>
    <row r="168" spans="1:10">
      <c r="A168" s="636">
        <f>A167+1</f>
        <v>114</v>
      </c>
      <c r="B168" s="7" t="s">
        <v>538</v>
      </c>
      <c r="C168" s="649">
        <v>0.1149</v>
      </c>
      <c r="D168" s="649"/>
      <c r="E168" s="649">
        <v>0.1149</v>
      </c>
      <c r="F168" s="649">
        <v>0.1149</v>
      </c>
      <c r="G168" s="649">
        <v>0.1149</v>
      </c>
      <c r="H168" s="649">
        <v>0.1149</v>
      </c>
      <c r="I168" s="649">
        <v>0.1149</v>
      </c>
      <c r="J168" s="649">
        <v>0.1149</v>
      </c>
    </row>
    <row r="170" spans="1:10" ht="15">
      <c r="A170" s="607" t="s">
        <v>539</v>
      </c>
    </row>
    <row r="171" spans="1:10">
      <c r="A171" s="636">
        <f>A168+1</f>
        <v>115</v>
      </c>
      <c r="B171" s="7" t="str">
        <f>"LTD Weighted Capital Cost Rate (Ln "&amp;A155&amp;" * Ln "&amp;A166&amp;")"</f>
        <v>LTD Weighted Capital Cost Rate (Ln 105 * Ln 112)</v>
      </c>
      <c r="C171" s="649" t="e">
        <f>C155*C166</f>
        <v>#DIV/0!</v>
      </c>
      <c r="D171" s="649"/>
      <c r="E171" s="649" t="e">
        <f t="shared" ref="E171:J171" si="51">E155*E166</f>
        <v>#DIV/0!</v>
      </c>
      <c r="F171" s="649" t="e">
        <f t="shared" si="51"/>
        <v>#DIV/0!</v>
      </c>
      <c r="G171" s="649" t="e">
        <f t="shared" si="51"/>
        <v>#DIV/0!</v>
      </c>
      <c r="H171" s="649" t="e">
        <f t="shared" si="51"/>
        <v>#DIV/0!</v>
      </c>
      <c r="I171" s="649" t="e">
        <f t="shared" si="51"/>
        <v>#DIV/0!</v>
      </c>
      <c r="J171" s="649" t="e">
        <f t="shared" si="51"/>
        <v>#DIV/0!</v>
      </c>
    </row>
    <row r="172" spans="1:10">
      <c r="A172" s="636">
        <f>A171+1</f>
        <v>116</v>
      </c>
      <c r="B172" s="7" t="str">
        <f>"Preferred Stock Capital Cost Rate (Ln "&amp;A156&amp;" * Ln "&amp;A167&amp;")"</f>
        <v>Preferred Stock Capital Cost Rate (Ln 106 * Ln 113)</v>
      </c>
      <c r="C172" s="649" t="e">
        <f>C156*C167</f>
        <v>#DIV/0!</v>
      </c>
      <c r="D172" s="649"/>
      <c r="E172" s="649" t="e">
        <f t="shared" ref="E172:J172" si="52">E156*E167</f>
        <v>#DIV/0!</v>
      </c>
      <c r="F172" s="649" t="e">
        <f t="shared" si="52"/>
        <v>#DIV/0!</v>
      </c>
      <c r="G172" s="649" t="e">
        <f t="shared" si="52"/>
        <v>#DIV/0!</v>
      </c>
      <c r="H172" s="649" t="e">
        <f t="shared" si="52"/>
        <v>#DIV/0!</v>
      </c>
      <c r="I172" s="649" t="e">
        <f t="shared" si="52"/>
        <v>#DIV/0!</v>
      </c>
      <c r="J172" s="649" t="e">
        <f t="shared" si="52"/>
        <v>#DIV/0!</v>
      </c>
    </row>
    <row r="173" spans="1:10">
      <c r="A173" s="636">
        <f>A172+1</f>
        <v>117</v>
      </c>
      <c r="B173" s="7" t="str">
        <f>"Common Equity Capital Cost Rate (Ln "&amp;A157&amp;" * Ln "&amp;A168&amp;")"</f>
        <v>Common Equity Capital Cost Rate (Ln 107 * Ln 114)</v>
      </c>
      <c r="C173" s="652" t="e">
        <f>C157*C168</f>
        <v>#DIV/0!</v>
      </c>
      <c r="D173" s="652"/>
      <c r="E173" s="652" t="e">
        <f t="shared" ref="E173:J173" si="53">E157*E168</f>
        <v>#DIV/0!</v>
      </c>
      <c r="F173" s="652" t="e">
        <f t="shared" si="53"/>
        <v>#DIV/0!</v>
      </c>
      <c r="G173" s="652" t="e">
        <f t="shared" si="53"/>
        <v>#DIV/0!</v>
      </c>
      <c r="H173" s="652" t="e">
        <f t="shared" si="53"/>
        <v>#DIV/0!</v>
      </c>
      <c r="I173" s="652" t="e">
        <f t="shared" si="53"/>
        <v>#DIV/0!</v>
      </c>
      <c r="J173" s="652" t="e">
        <f t="shared" si="53"/>
        <v>#DIV/0!</v>
      </c>
    </row>
    <row r="174" spans="1:10">
      <c r="A174" s="636">
        <f>A173+1</f>
        <v>118</v>
      </c>
      <c r="B174" s="642" t="s">
        <v>536</v>
      </c>
      <c r="C174" s="653" t="e">
        <f t="shared" ref="C174:J174" si="54">SUM(C171:C173)</f>
        <v>#DIV/0!</v>
      </c>
      <c r="D174" s="653"/>
      <c r="E174" s="653" t="e">
        <f t="shared" si="54"/>
        <v>#DIV/0!</v>
      </c>
      <c r="F174" s="653" t="e">
        <f t="shared" si="54"/>
        <v>#DIV/0!</v>
      </c>
      <c r="G174" s="653" t="e">
        <f t="shared" si="54"/>
        <v>#DIV/0!</v>
      </c>
      <c r="H174" s="653" t="e">
        <f t="shared" si="54"/>
        <v>#DIV/0!</v>
      </c>
      <c r="I174" s="653" t="e">
        <f t="shared" si="54"/>
        <v>#DIV/0!</v>
      </c>
      <c r="J174" s="653" t="e">
        <f t="shared" si="54"/>
        <v>#DIV/0!</v>
      </c>
    </row>
    <row r="177" spans="1:10">
      <c r="A177" s="1225" t="s">
        <v>515</v>
      </c>
      <c r="B177" s="1225"/>
      <c r="C177" s="1225"/>
      <c r="D177" s="1225"/>
      <c r="E177" s="1225"/>
      <c r="F177" s="1225"/>
      <c r="G177" s="1225"/>
      <c r="H177" s="1225"/>
      <c r="I177" s="1225"/>
      <c r="J177" s="1225"/>
    </row>
    <row r="178" spans="1:10">
      <c r="A178" s="1225" t="s">
        <v>540</v>
      </c>
      <c r="B178" s="1225"/>
      <c r="C178" s="1225"/>
      <c r="D178" s="1225"/>
      <c r="E178" s="1225"/>
      <c r="F178" s="1225"/>
      <c r="G178" s="1225"/>
      <c r="H178" s="1225"/>
      <c r="I178" s="1225"/>
      <c r="J178" s="1225"/>
    </row>
    <row r="179" spans="1:10">
      <c r="A179" s="1225" t="s">
        <v>258</v>
      </c>
      <c r="B179" s="1225"/>
      <c r="C179" s="1225"/>
      <c r="D179" s="1225"/>
      <c r="E179" s="1225"/>
      <c r="F179" s="1225"/>
      <c r="G179" s="1225"/>
      <c r="H179" s="1225"/>
      <c r="I179" s="1225"/>
      <c r="J179" s="1225"/>
    </row>
    <row r="181" spans="1:10" ht="76.5">
      <c r="A181" s="636" t="s">
        <v>469</v>
      </c>
      <c r="C181" s="637" t="s">
        <v>516</v>
      </c>
      <c r="D181" s="637"/>
      <c r="E181" s="637" t="s">
        <v>517</v>
      </c>
      <c r="F181" s="637" t="s">
        <v>518</v>
      </c>
      <c r="G181" s="637" t="s">
        <v>519</v>
      </c>
      <c r="H181" s="637" t="s">
        <v>520</v>
      </c>
      <c r="I181" s="637" t="s">
        <v>521</v>
      </c>
      <c r="J181" s="637" t="s">
        <v>522</v>
      </c>
    </row>
    <row r="182" spans="1:10" ht="15">
      <c r="A182" s="607" t="s">
        <v>541</v>
      </c>
    </row>
    <row r="183" spans="1:10">
      <c r="A183" s="636">
        <f>A174+1</f>
        <v>119</v>
      </c>
      <c r="B183" s="75" t="str">
        <f>"Average Bonds (Ln "&amp;A9&amp;" + Ln "&amp;A96&amp;") / 2"</f>
        <v>Average Bonds (Ln 1 + Ln 60) / 2</v>
      </c>
      <c r="C183" s="595" t="e">
        <f t="shared" ref="C183:I187" si="55">AVERAGE(C9,C96)</f>
        <v>#DIV/0!</v>
      </c>
      <c r="D183" s="595"/>
      <c r="E183" s="595" t="e">
        <f t="shared" si="55"/>
        <v>#DIV/0!</v>
      </c>
      <c r="F183" s="595" t="e">
        <f t="shared" si="55"/>
        <v>#DIV/0!</v>
      </c>
      <c r="G183" s="595" t="e">
        <f t="shared" si="55"/>
        <v>#DIV/0!</v>
      </c>
      <c r="H183" s="595" t="e">
        <f t="shared" si="55"/>
        <v>#DIV/0!</v>
      </c>
      <c r="I183" s="595" t="e">
        <f t="shared" si="55"/>
        <v>#DIV/0!</v>
      </c>
      <c r="J183" s="595" t="e">
        <f>SUM(C183:I183)</f>
        <v>#DIV/0!</v>
      </c>
    </row>
    <row r="184" spans="1:10">
      <c r="A184" s="636">
        <f>A183+1</f>
        <v>120</v>
      </c>
      <c r="B184" s="75" t="str">
        <f>"Less: Average Reacquired Bonds (Ln "&amp;A10&amp;" + Ln "&amp;A97&amp;") / 2"</f>
        <v>Less: Average Reacquired Bonds (Ln 2 + Ln 61) / 2</v>
      </c>
      <c r="C184" s="595" t="e">
        <f t="shared" si="55"/>
        <v>#DIV/0!</v>
      </c>
      <c r="D184" s="595"/>
      <c r="E184" s="595" t="e">
        <f t="shared" si="55"/>
        <v>#DIV/0!</v>
      </c>
      <c r="F184" s="595" t="e">
        <f t="shared" si="55"/>
        <v>#DIV/0!</v>
      </c>
      <c r="G184" s="595" t="e">
        <f t="shared" si="55"/>
        <v>#DIV/0!</v>
      </c>
      <c r="H184" s="595" t="e">
        <f t="shared" si="55"/>
        <v>#DIV/0!</v>
      </c>
      <c r="I184" s="595" t="e">
        <f t="shared" si="55"/>
        <v>#DIV/0!</v>
      </c>
      <c r="J184" s="595" t="e">
        <f>SUM(C184:I184)</f>
        <v>#DIV/0!</v>
      </c>
    </row>
    <row r="185" spans="1:10">
      <c r="A185" s="636">
        <f>A184+1</f>
        <v>121</v>
      </c>
      <c r="B185" s="14" t="str">
        <f>"Average LT Advances from Assoc. Companies (Ln "&amp;A11&amp;" + Ln "&amp;A98&amp;") / 2"</f>
        <v>Average LT Advances from Assoc. Companies (Ln 3 + Ln 62) / 2</v>
      </c>
      <c r="C185" s="595" t="e">
        <f t="shared" si="55"/>
        <v>#DIV/0!</v>
      </c>
      <c r="D185" s="595"/>
      <c r="E185" s="595" t="e">
        <f t="shared" si="55"/>
        <v>#DIV/0!</v>
      </c>
      <c r="F185" s="595" t="e">
        <f t="shared" si="55"/>
        <v>#DIV/0!</v>
      </c>
      <c r="G185" s="595" t="e">
        <f t="shared" si="55"/>
        <v>#DIV/0!</v>
      </c>
      <c r="H185" s="595" t="e">
        <f t="shared" si="55"/>
        <v>#DIV/0!</v>
      </c>
      <c r="I185" s="595" t="e">
        <f t="shared" si="55"/>
        <v>#DIV/0!</v>
      </c>
      <c r="J185" s="595" t="e">
        <f>SUM(C185:I185)</f>
        <v>#DIV/0!</v>
      </c>
    </row>
    <row r="186" spans="1:10">
      <c r="A186" s="636">
        <f>A185+1</f>
        <v>122</v>
      </c>
      <c r="B186" s="14" t="str">
        <f>"Average Senior Unsecured Notes (Ln "&amp;A12&amp;" + Ln "&amp;A99&amp;") / 2"</f>
        <v>Average Senior Unsecured Notes (Ln 4 + Ln 63) / 2</v>
      </c>
      <c r="C186" s="595" t="e">
        <f t="shared" si="55"/>
        <v>#DIV/0!</v>
      </c>
      <c r="D186" s="595"/>
      <c r="E186" s="595" t="e">
        <f t="shared" si="55"/>
        <v>#DIV/0!</v>
      </c>
      <c r="F186" s="595" t="e">
        <f t="shared" si="55"/>
        <v>#DIV/0!</v>
      </c>
      <c r="G186" s="595" t="e">
        <f t="shared" si="55"/>
        <v>#DIV/0!</v>
      </c>
      <c r="H186" s="595" t="e">
        <f t="shared" si="55"/>
        <v>#DIV/0!</v>
      </c>
      <c r="I186" s="595" t="e">
        <f t="shared" si="55"/>
        <v>#DIV/0!</v>
      </c>
      <c r="J186" s="595" t="e">
        <f>SUM(C186:I186)</f>
        <v>#DIV/0!</v>
      </c>
    </row>
    <row r="187" spans="1:10">
      <c r="A187" s="636">
        <f>A186+1</f>
        <v>123</v>
      </c>
      <c r="B187" s="14" t="str">
        <f>"Less: Average Fair Value Hedges (See Note on Ln "&amp;A190&amp;" below)"</f>
        <v>Less: Average Fair Value Hedges (See Note on Ln 125 below)</v>
      </c>
      <c r="C187" s="654" t="e">
        <f t="shared" si="55"/>
        <v>#DIV/0!</v>
      </c>
      <c r="D187" s="654"/>
      <c r="E187" s="654" t="e">
        <f t="shared" si="55"/>
        <v>#DIV/0!</v>
      </c>
      <c r="F187" s="654" t="e">
        <f t="shared" si="55"/>
        <v>#DIV/0!</v>
      </c>
      <c r="G187" s="654" t="e">
        <f t="shared" si="55"/>
        <v>#DIV/0!</v>
      </c>
      <c r="H187" s="654" t="e">
        <f t="shared" si="55"/>
        <v>#DIV/0!</v>
      </c>
      <c r="I187" s="654" t="e">
        <f t="shared" si="55"/>
        <v>#DIV/0!</v>
      </c>
      <c r="J187" s="638" t="e">
        <f>SUM(C187:I187)</f>
        <v>#DIV/0!</v>
      </c>
    </row>
    <row r="188" spans="1:10">
      <c r="A188" s="636">
        <f>A187+1</f>
        <v>124</v>
      </c>
      <c r="B188" s="13" t="s">
        <v>542</v>
      </c>
      <c r="C188" s="639" t="e">
        <f t="shared" ref="C188:J188" si="56">C183-C184+C185+C186-C187</f>
        <v>#DIV/0!</v>
      </c>
      <c r="D188" s="639"/>
      <c r="E188" s="639" t="e">
        <f t="shared" si="56"/>
        <v>#DIV/0!</v>
      </c>
      <c r="F188" s="639" t="e">
        <f t="shared" si="56"/>
        <v>#DIV/0!</v>
      </c>
      <c r="G188" s="639" t="e">
        <f t="shared" si="56"/>
        <v>#DIV/0!</v>
      </c>
      <c r="H188" s="639" t="e">
        <f t="shared" si="56"/>
        <v>#DIV/0!</v>
      </c>
      <c r="I188" s="639" t="e">
        <f t="shared" si="56"/>
        <v>#DIV/0!</v>
      </c>
      <c r="J188" s="639" t="e">
        <f t="shared" si="56"/>
        <v>#DIV/0!</v>
      </c>
    </row>
    <row r="190" spans="1:10">
      <c r="A190" s="636">
        <f>A188+1</f>
        <v>125</v>
      </c>
      <c r="B190" s="1224" t="s">
        <v>65</v>
      </c>
      <c r="C190" s="1224"/>
      <c r="D190" s="1224"/>
      <c r="E190" s="1224"/>
      <c r="F190" s="1224"/>
      <c r="G190" s="1224"/>
      <c r="H190" s="1224"/>
      <c r="I190" s="1224"/>
      <c r="J190" s="1224"/>
    </row>
    <row r="191" spans="1:10">
      <c r="A191" s="655"/>
      <c r="B191" s="640"/>
      <c r="C191" s="640"/>
      <c r="D191" s="640"/>
      <c r="E191" s="640"/>
      <c r="F191" s="640"/>
      <c r="G191" s="640"/>
      <c r="H191" s="640"/>
      <c r="I191" s="640"/>
      <c r="J191" s="640"/>
    </row>
    <row r="192" spans="1:10" ht="15">
      <c r="A192" s="607" t="str">
        <f>"Development of "&amp;TCOS!O3&amp;" Long Term Debt Interest Expense"</f>
        <v>Development of   Long Term Debt Interest Expense</v>
      </c>
    </row>
    <row r="193" spans="1:10">
      <c r="A193" s="636">
        <f>A190+1</f>
        <v>126</v>
      </c>
      <c r="B193" s="14" t="str">
        <f t="shared" ref="B193:I193" si="57">B19</f>
        <v>Interest on Long Term Debt (256-257.33.i)</v>
      </c>
      <c r="C193" s="349">
        <f t="shared" si="57"/>
        <v>0</v>
      </c>
      <c r="D193" s="349"/>
      <c r="E193" s="349">
        <f t="shared" si="57"/>
        <v>0</v>
      </c>
      <c r="F193" s="349">
        <f t="shared" si="57"/>
        <v>0</v>
      </c>
      <c r="G193" s="349">
        <f t="shared" si="57"/>
        <v>0</v>
      </c>
      <c r="H193" s="349">
        <f t="shared" si="57"/>
        <v>0</v>
      </c>
      <c r="I193" s="349">
        <f t="shared" si="57"/>
        <v>0</v>
      </c>
      <c r="J193" s="349">
        <f t="shared" ref="J193:J198" si="58">SUM(C193:I193)</f>
        <v>0</v>
      </c>
    </row>
    <row r="194" spans="1:10">
      <c r="A194" s="636">
        <f t="shared" ref="A194:A199" si="59">A193+1</f>
        <v>127</v>
      </c>
      <c r="B194" s="14" t="str">
        <f t="shared" ref="B194:C198" si="60">B20</f>
        <v>Amort of Debt Discount &amp; Expense (117.63.c)</v>
      </c>
      <c r="C194" s="349">
        <f>C20</f>
        <v>0</v>
      </c>
      <c r="D194" s="349"/>
      <c r="E194" s="349">
        <f t="shared" ref="E194:I195" si="61">E20</f>
        <v>0</v>
      </c>
      <c r="F194" s="349">
        <f t="shared" si="61"/>
        <v>0</v>
      </c>
      <c r="G194" s="349">
        <f t="shared" si="61"/>
        <v>0</v>
      </c>
      <c r="H194" s="349">
        <f t="shared" si="61"/>
        <v>0</v>
      </c>
      <c r="I194" s="349">
        <f t="shared" si="61"/>
        <v>0</v>
      </c>
      <c r="J194" s="349">
        <f t="shared" si="58"/>
        <v>0</v>
      </c>
    </row>
    <row r="195" spans="1:10">
      <c r="A195" s="636">
        <f t="shared" si="59"/>
        <v>128</v>
      </c>
      <c r="B195" s="14" t="str">
        <f t="shared" si="60"/>
        <v>Amort of Loss on Reacquired Debt (117.64.c)</v>
      </c>
      <c r="C195" s="349">
        <f t="shared" si="60"/>
        <v>0</v>
      </c>
      <c r="D195" s="349"/>
      <c r="E195" s="349">
        <f t="shared" si="61"/>
        <v>0</v>
      </c>
      <c r="F195" s="349">
        <f t="shared" si="61"/>
        <v>0</v>
      </c>
      <c r="G195" s="349">
        <f t="shared" si="61"/>
        <v>0</v>
      </c>
      <c r="H195" s="349">
        <f t="shared" si="61"/>
        <v>0</v>
      </c>
      <c r="I195" s="349">
        <f t="shared" si="61"/>
        <v>0</v>
      </c>
      <c r="J195" s="349">
        <f t="shared" si="58"/>
        <v>0</v>
      </c>
    </row>
    <row r="196" spans="1:10">
      <c r="A196" s="636">
        <f t="shared" si="59"/>
        <v>129</v>
      </c>
      <c r="B196" s="14" t="str">
        <f>B22</f>
        <v>Less: Amort of Premium on Debt (117.65.c)</v>
      </c>
      <c r="C196" s="349">
        <f t="shared" ref="C196:I196" si="62">C22</f>
        <v>0</v>
      </c>
      <c r="D196" s="349"/>
      <c r="E196" s="349">
        <f t="shared" si="62"/>
        <v>0</v>
      </c>
      <c r="F196" s="349">
        <f t="shared" si="62"/>
        <v>0</v>
      </c>
      <c r="G196" s="349">
        <f t="shared" si="62"/>
        <v>0</v>
      </c>
      <c r="H196" s="349">
        <f t="shared" si="62"/>
        <v>0</v>
      </c>
      <c r="I196" s="349">
        <f t="shared" si="62"/>
        <v>0</v>
      </c>
      <c r="J196" s="595">
        <f t="shared" si="58"/>
        <v>0</v>
      </c>
    </row>
    <row r="197" spans="1:10">
      <c r="A197" s="636">
        <f t="shared" si="59"/>
        <v>130</v>
      </c>
      <c r="B197" s="14" t="str">
        <f t="shared" si="60"/>
        <v>Less: Amort of Gain on Reacquired Debt (117.66.c)</v>
      </c>
      <c r="C197" s="349">
        <f>C23</f>
        <v>0</v>
      </c>
      <c r="D197" s="349"/>
      <c r="E197" s="349">
        <f t="shared" ref="E197:I198" si="63">E23</f>
        <v>0</v>
      </c>
      <c r="F197" s="349">
        <f t="shared" si="63"/>
        <v>0</v>
      </c>
      <c r="G197" s="349">
        <f t="shared" si="63"/>
        <v>0</v>
      </c>
      <c r="H197" s="349">
        <f t="shared" si="63"/>
        <v>0</v>
      </c>
      <c r="I197" s="349">
        <f t="shared" si="63"/>
        <v>0</v>
      </c>
      <c r="J197" s="595">
        <f t="shared" si="58"/>
        <v>0</v>
      </c>
    </row>
    <row r="198" spans="1:10">
      <c r="A198" s="636">
        <f t="shared" si="59"/>
        <v>131</v>
      </c>
      <c r="B198" s="14" t="str">
        <f t="shared" si="60"/>
        <v>Less: Hedge Interest on pp 256-257(i)</v>
      </c>
      <c r="C198" s="654">
        <f>C24</f>
        <v>0</v>
      </c>
      <c r="D198" s="654"/>
      <c r="E198" s="654">
        <f t="shared" si="63"/>
        <v>0</v>
      </c>
      <c r="F198" s="654">
        <f t="shared" si="63"/>
        <v>0</v>
      </c>
      <c r="G198" s="654">
        <f t="shared" si="63"/>
        <v>0</v>
      </c>
      <c r="H198" s="654">
        <f t="shared" si="63"/>
        <v>0</v>
      </c>
      <c r="I198" s="654">
        <f t="shared" si="63"/>
        <v>0</v>
      </c>
      <c r="J198" s="638">
        <f t="shared" si="58"/>
        <v>0</v>
      </c>
    </row>
    <row r="199" spans="1:10">
      <c r="A199" s="636">
        <f t="shared" si="59"/>
        <v>132</v>
      </c>
      <c r="B199" s="656" t="str">
        <f>""&amp;TCOS!O3&amp;" LTD Interest Expense"</f>
        <v xml:space="preserve">  LTD Interest Expense</v>
      </c>
      <c r="C199" s="643">
        <f t="shared" ref="C199:J199" si="64">C193+C194+C195-C196-C197-C198</f>
        <v>0</v>
      </c>
      <c r="D199" s="643"/>
      <c r="E199" s="643">
        <f t="shared" si="64"/>
        <v>0</v>
      </c>
      <c r="F199" s="643">
        <f t="shared" si="64"/>
        <v>0</v>
      </c>
      <c r="G199" s="643">
        <f t="shared" si="64"/>
        <v>0</v>
      </c>
      <c r="H199" s="643">
        <f t="shared" si="64"/>
        <v>0</v>
      </c>
      <c r="I199" s="643">
        <f t="shared" si="64"/>
        <v>0</v>
      </c>
      <c r="J199" s="643">
        <f t="shared" si="64"/>
        <v>0</v>
      </c>
    </row>
    <row r="201" spans="1:10" ht="15">
      <c r="A201" s="607" t="str">
        <f>""&amp;TCOS!O3&amp;" Cost of Preferred Stock and Preferred Dividends"</f>
        <v xml:space="preserve">  Cost of Preferred Stock and Preferred Dividends</v>
      </c>
      <c r="B201" s="644"/>
      <c r="C201" s="644"/>
      <c r="D201" s="644"/>
      <c r="E201" s="644"/>
    </row>
    <row r="202" spans="1:10">
      <c r="A202" s="636">
        <f>A199+1</f>
        <v>133</v>
      </c>
      <c r="B202" s="7" t="str">
        <f>"Average Balance of Preferred Stock (Ln "&amp;A52&amp;" + Ln "&amp;A139&amp;") / 2"</f>
        <v>Average Balance of Preferred Stock (Ln 35 + Ln 94) / 2</v>
      </c>
      <c r="C202" s="643">
        <f>AVERAGE(C52,C139)</f>
        <v>0</v>
      </c>
      <c r="D202" s="643"/>
      <c r="E202" s="643">
        <f t="shared" ref="E202:J202" si="65">AVERAGE(E52,E139)</f>
        <v>0</v>
      </c>
      <c r="F202" s="643">
        <f t="shared" si="65"/>
        <v>0</v>
      </c>
      <c r="G202" s="643">
        <f t="shared" si="65"/>
        <v>0</v>
      </c>
      <c r="H202" s="643">
        <f t="shared" si="65"/>
        <v>0</v>
      </c>
      <c r="I202" s="643">
        <f t="shared" si="65"/>
        <v>0</v>
      </c>
      <c r="J202" s="643">
        <f t="shared" si="65"/>
        <v>0</v>
      </c>
    </row>
    <row r="203" spans="1:10">
      <c r="A203" s="636">
        <f>A202+1</f>
        <v>134</v>
      </c>
      <c r="B203" s="7" t="str">
        <f>""&amp;TCOS!O3&amp;" Preferred Dividends (Ln "&amp;A53&amp;")"</f>
        <v xml:space="preserve">  Preferred Dividends (Ln 36)</v>
      </c>
      <c r="C203" s="643">
        <f>C53</f>
        <v>0</v>
      </c>
      <c r="D203" s="643"/>
      <c r="E203" s="643">
        <f t="shared" ref="E203:J203" si="66">E53</f>
        <v>0</v>
      </c>
      <c r="F203" s="643">
        <f t="shared" si="66"/>
        <v>0</v>
      </c>
      <c r="G203" s="643">
        <f t="shared" si="66"/>
        <v>0</v>
      </c>
      <c r="H203" s="643">
        <f t="shared" si="66"/>
        <v>0</v>
      </c>
      <c r="I203" s="643">
        <f t="shared" si="66"/>
        <v>0</v>
      </c>
      <c r="J203" s="643">
        <f t="shared" si="66"/>
        <v>0</v>
      </c>
    </row>
    <row r="204" spans="1:10">
      <c r="B204" s="655"/>
    </row>
    <row r="205" spans="1:10" ht="15">
      <c r="A205" s="607" t="s">
        <v>543</v>
      </c>
    </row>
    <row r="206" spans="1:10">
      <c r="A206" s="636">
        <f>A203+1</f>
        <v>135</v>
      </c>
      <c r="B206" s="457" t="str">
        <f>"Average Proprietary Capital (Ln "&amp;A56&amp;" + Ln "&amp;A143&amp;") / 2"</f>
        <v>Average Proprietary Capital (Ln 37 + Ln 96) / 2</v>
      </c>
      <c r="C206" s="349" t="e">
        <f t="shared" ref="C206:I206" si="67">AVERAGE(C56,C143)</f>
        <v>#DIV/0!</v>
      </c>
      <c r="D206" s="349"/>
      <c r="E206" s="349" t="e">
        <f t="shared" si="67"/>
        <v>#DIV/0!</v>
      </c>
      <c r="F206" s="349" t="e">
        <f t="shared" si="67"/>
        <v>#DIV/0!</v>
      </c>
      <c r="G206" s="349" t="e">
        <f t="shared" si="67"/>
        <v>#DIV/0!</v>
      </c>
      <c r="H206" s="349" t="e">
        <f t="shared" si="67"/>
        <v>#DIV/0!</v>
      </c>
      <c r="I206" s="349" t="e">
        <f t="shared" si="67"/>
        <v>#DIV/0!</v>
      </c>
      <c r="J206" s="643" t="e">
        <f>SUM(C206:I206)</f>
        <v>#DIV/0!</v>
      </c>
    </row>
    <row r="207" spans="1:10">
      <c r="A207" s="636">
        <f>A206+1</f>
        <v>136</v>
      </c>
      <c r="B207" s="457" t="str">
        <f>"Less: Average Preferred Stock (Ln "&amp;A202&amp;" Above)"</f>
        <v>Less: Average Preferred Stock (Ln 133 Above)</v>
      </c>
      <c r="C207" s="349">
        <f t="shared" ref="C207:H207" si="68">C202</f>
        <v>0</v>
      </c>
      <c r="D207" s="349"/>
      <c r="E207" s="349">
        <f t="shared" si="68"/>
        <v>0</v>
      </c>
      <c r="F207" s="349">
        <f t="shared" si="68"/>
        <v>0</v>
      </c>
      <c r="G207" s="349">
        <f t="shared" si="68"/>
        <v>0</v>
      </c>
      <c r="H207" s="349">
        <f t="shared" si="68"/>
        <v>0</v>
      </c>
      <c r="I207" s="349">
        <f>I202</f>
        <v>0</v>
      </c>
      <c r="J207" s="643">
        <f>SUM(C207:I207)</f>
        <v>0</v>
      </c>
    </row>
    <row r="208" spans="1:10">
      <c r="A208" s="636">
        <f>A207+1</f>
        <v>137</v>
      </c>
      <c r="B208" s="457" t="str">
        <f>"Less: Average Account 216.1 (Ln "&amp;A58&amp;" + Ln "&amp;A145&amp;") / 2"</f>
        <v>Less: Average Account 216.1 (Ln 39 + Ln 98) / 2</v>
      </c>
      <c r="C208" s="349" t="e">
        <f t="shared" ref="C208:I209" si="69">AVERAGE(C58,C145)</f>
        <v>#DIV/0!</v>
      </c>
      <c r="D208" s="349"/>
      <c r="E208" s="349" t="e">
        <f t="shared" si="69"/>
        <v>#DIV/0!</v>
      </c>
      <c r="F208" s="349" t="e">
        <f t="shared" si="69"/>
        <v>#DIV/0!</v>
      </c>
      <c r="G208" s="349" t="e">
        <f t="shared" si="69"/>
        <v>#DIV/0!</v>
      </c>
      <c r="H208" s="349" t="e">
        <f t="shared" si="69"/>
        <v>#DIV/0!</v>
      </c>
      <c r="I208" s="349" t="e">
        <f t="shared" si="69"/>
        <v>#DIV/0!</v>
      </c>
      <c r="J208" s="643" t="e">
        <f>SUM(C208:I208)</f>
        <v>#DIV/0!</v>
      </c>
    </row>
    <row r="209" spans="1:12">
      <c r="A209" s="636">
        <f>A208+1</f>
        <v>138</v>
      </c>
      <c r="B209" s="457" t="str">
        <f>"Less: Average Account 219.1 (Ln "&amp;A59&amp;" + Ln "&amp;A146&amp;") / 2"</f>
        <v>Less: Average Account 219.1 (Ln 40 + Ln 99) / 2</v>
      </c>
      <c r="C209" s="654" t="e">
        <f t="shared" si="69"/>
        <v>#DIV/0!</v>
      </c>
      <c r="D209" s="654"/>
      <c r="E209" s="654" t="e">
        <f t="shared" si="69"/>
        <v>#DIV/0!</v>
      </c>
      <c r="F209" s="654" t="e">
        <f t="shared" si="69"/>
        <v>#DIV/0!</v>
      </c>
      <c r="G209" s="654" t="e">
        <f t="shared" si="69"/>
        <v>#DIV/0!</v>
      </c>
      <c r="H209" s="654" t="e">
        <f t="shared" si="69"/>
        <v>#DIV/0!</v>
      </c>
      <c r="I209" s="654" t="e">
        <f t="shared" si="69"/>
        <v>#DIV/0!</v>
      </c>
      <c r="J209" s="648" t="e">
        <f>SUM(C209:I209)</f>
        <v>#DIV/0!</v>
      </c>
    </row>
    <row r="210" spans="1:12">
      <c r="A210" s="636">
        <f>A209+1</f>
        <v>139</v>
      </c>
      <c r="B210" s="461" t="s">
        <v>339</v>
      </c>
      <c r="C210" s="595" t="e">
        <f t="shared" ref="C210:J210" si="70">C206-C207-C208-C209</f>
        <v>#DIV/0!</v>
      </c>
      <c r="D210" s="595"/>
      <c r="E210" s="595" t="e">
        <f t="shared" si="70"/>
        <v>#DIV/0!</v>
      </c>
      <c r="F210" s="595" t="e">
        <f t="shared" si="70"/>
        <v>#DIV/0!</v>
      </c>
      <c r="G210" s="595" t="e">
        <f t="shared" si="70"/>
        <v>#DIV/0!</v>
      </c>
      <c r="H210" s="595" t="e">
        <f t="shared" si="70"/>
        <v>#DIV/0!</v>
      </c>
      <c r="I210" s="595" t="e">
        <f t="shared" si="70"/>
        <v>#DIV/0!</v>
      </c>
      <c r="J210" s="595" t="e">
        <f t="shared" si="70"/>
        <v>#DIV/0!</v>
      </c>
    </row>
    <row r="212" spans="1:12" ht="15">
      <c r="A212" s="607" t="s">
        <v>535</v>
      </c>
    </row>
    <row r="213" spans="1:12">
      <c r="A213" s="636">
        <f>A210+1</f>
        <v>140</v>
      </c>
      <c r="B213" s="7" t="str">
        <f>"Average Balance of Long Term Debt (Ln "&amp;A188&amp;" Above)"</f>
        <v>Average Balance of Long Term Debt (Ln 124 Above)</v>
      </c>
      <c r="C213" s="643" t="e">
        <f t="shared" ref="C213:J213" si="71">C188</f>
        <v>#DIV/0!</v>
      </c>
      <c r="D213" s="643"/>
      <c r="E213" s="643" t="e">
        <f t="shared" si="71"/>
        <v>#DIV/0!</v>
      </c>
      <c r="F213" s="643" t="e">
        <f t="shared" si="71"/>
        <v>#DIV/0!</v>
      </c>
      <c r="G213" s="643" t="e">
        <f t="shared" si="71"/>
        <v>#DIV/0!</v>
      </c>
      <c r="H213" s="643" t="e">
        <f t="shared" si="71"/>
        <v>#DIV/0!</v>
      </c>
      <c r="I213" s="643" t="e">
        <f t="shared" si="71"/>
        <v>#DIV/0!</v>
      </c>
      <c r="J213" s="643" t="e">
        <f t="shared" si="71"/>
        <v>#DIV/0!</v>
      </c>
    </row>
    <row r="214" spans="1:12">
      <c r="A214" s="636">
        <f>A213+1</f>
        <v>141</v>
      </c>
      <c r="B214" s="7" t="str">
        <f>"Average Balance of Preferred Stock (Ln "&amp;A202&amp;" Above)"</f>
        <v>Average Balance of Preferred Stock (Ln 133 Above)</v>
      </c>
      <c r="C214" s="643">
        <f t="shared" ref="C214:J214" si="72">C202</f>
        <v>0</v>
      </c>
      <c r="D214" s="643"/>
      <c r="E214" s="643">
        <f t="shared" si="72"/>
        <v>0</v>
      </c>
      <c r="F214" s="643">
        <f t="shared" si="72"/>
        <v>0</v>
      </c>
      <c r="G214" s="643">
        <f t="shared" si="72"/>
        <v>0</v>
      </c>
      <c r="H214" s="643">
        <f t="shared" si="72"/>
        <v>0</v>
      </c>
      <c r="I214" s="643">
        <f t="shared" si="72"/>
        <v>0</v>
      </c>
      <c r="J214" s="643">
        <f t="shared" si="72"/>
        <v>0</v>
      </c>
    </row>
    <row r="215" spans="1:12">
      <c r="A215" s="636">
        <f>A214+1</f>
        <v>142</v>
      </c>
      <c r="B215" s="7" t="str">
        <f>"Average Balance of Common Equity (Ln "&amp;A210&amp;" Above)"</f>
        <v>Average Balance of Common Equity (Ln 139 Above)</v>
      </c>
      <c r="C215" s="648" t="e">
        <f t="shared" ref="C215:J215" si="73">C210</f>
        <v>#DIV/0!</v>
      </c>
      <c r="D215" s="648"/>
      <c r="E215" s="648" t="e">
        <f t="shared" si="73"/>
        <v>#DIV/0!</v>
      </c>
      <c r="F215" s="648" t="e">
        <f t="shared" si="73"/>
        <v>#DIV/0!</v>
      </c>
      <c r="G215" s="648" t="e">
        <f t="shared" si="73"/>
        <v>#DIV/0!</v>
      </c>
      <c r="H215" s="648" t="e">
        <f t="shared" si="73"/>
        <v>#DIV/0!</v>
      </c>
      <c r="I215" s="648" t="e">
        <f t="shared" si="73"/>
        <v>#DIV/0!</v>
      </c>
      <c r="J215" s="648" t="e">
        <f t="shared" si="73"/>
        <v>#DIV/0!</v>
      </c>
    </row>
    <row r="216" spans="1:12">
      <c r="A216" s="636">
        <f>A215+1</f>
        <v>143</v>
      </c>
      <c r="B216" s="636" t="s">
        <v>544</v>
      </c>
      <c r="C216" s="643" t="e">
        <f t="shared" ref="C216:J216" si="74">SUM(C213:C215)</f>
        <v>#DIV/0!</v>
      </c>
      <c r="D216" s="643"/>
      <c r="E216" s="643" t="e">
        <f t="shared" si="74"/>
        <v>#DIV/0!</v>
      </c>
      <c r="F216" s="643" t="e">
        <f t="shared" si="74"/>
        <v>#DIV/0!</v>
      </c>
      <c r="G216" s="643" t="e">
        <f t="shared" si="74"/>
        <v>#DIV/0!</v>
      </c>
      <c r="H216" s="643" t="e">
        <f t="shared" si="74"/>
        <v>#DIV/0!</v>
      </c>
      <c r="I216" s="643" t="e">
        <f t="shared" si="74"/>
        <v>#DIV/0!</v>
      </c>
      <c r="J216" s="643" t="e">
        <f t="shared" si="74"/>
        <v>#DIV/0!</v>
      </c>
      <c r="L216" s="657"/>
    </row>
    <row r="218" spans="1:12">
      <c r="A218" s="636">
        <f>A216+1</f>
        <v>144</v>
      </c>
      <c r="B218" s="7" t="str">
        <f>"Average Balance of LTD Capital Shares (Ln "&amp;A213&amp;" / Ln "&amp;A216&amp;")"</f>
        <v>Average Balance of LTD Capital Shares (Ln 140 / Ln 143)</v>
      </c>
      <c r="C218" s="649" t="e">
        <f t="shared" ref="C218:I218" si="75">C213/C216</f>
        <v>#DIV/0!</v>
      </c>
      <c r="D218" s="649"/>
      <c r="E218" s="649" t="e">
        <f t="shared" si="75"/>
        <v>#DIV/0!</v>
      </c>
      <c r="F218" s="649" t="e">
        <f t="shared" si="75"/>
        <v>#DIV/0!</v>
      </c>
      <c r="G218" s="649" t="e">
        <f t="shared" si="75"/>
        <v>#DIV/0!</v>
      </c>
      <c r="H218" s="649" t="e">
        <f t="shared" si="75"/>
        <v>#DIV/0!</v>
      </c>
      <c r="I218" s="649" t="e">
        <f t="shared" si="75"/>
        <v>#DIV/0!</v>
      </c>
      <c r="J218" s="649" t="e">
        <f>J213/J216</f>
        <v>#DIV/0!</v>
      </c>
    </row>
    <row r="219" spans="1:12">
      <c r="A219" s="636">
        <f>A218+1</f>
        <v>145</v>
      </c>
      <c r="B219" s="7" t="str">
        <f>"Average Balance of Preferred Stock Capital Shares (Ln "&amp;A214&amp;" / Ln "&amp;A216&amp;")"</f>
        <v>Average Balance of Preferred Stock Capital Shares (Ln 141 / Ln 143)</v>
      </c>
      <c r="C219" s="649" t="e">
        <f t="shared" ref="C219:I219" si="76">C214/C216</f>
        <v>#DIV/0!</v>
      </c>
      <c r="D219" s="649"/>
      <c r="E219" s="649" t="e">
        <f t="shared" si="76"/>
        <v>#DIV/0!</v>
      </c>
      <c r="F219" s="649" t="e">
        <f t="shared" si="76"/>
        <v>#DIV/0!</v>
      </c>
      <c r="G219" s="649" t="e">
        <f t="shared" si="76"/>
        <v>#DIV/0!</v>
      </c>
      <c r="H219" s="649" t="e">
        <f t="shared" si="76"/>
        <v>#DIV/0!</v>
      </c>
      <c r="I219" s="649" t="e">
        <f t="shared" si="76"/>
        <v>#DIV/0!</v>
      </c>
      <c r="J219" s="649" t="e">
        <f>J214/J216</f>
        <v>#DIV/0!</v>
      </c>
    </row>
    <row r="220" spans="1:12">
      <c r="A220" s="636">
        <f>A219+1</f>
        <v>146</v>
      </c>
      <c r="B220" s="7" t="str">
        <f>"Average Balance of Common Equity Capital Shares (Ln "&amp;A215&amp;" / Ln "&amp;A216&amp;")"</f>
        <v>Average Balance of Common Equity Capital Shares (Ln 142 / Ln 143)</v>
      </c>
      <c r="C220" s="650" t="e">
        <f t="shared" ref="C220:I220" si="77">C215/C216</f>
        <v>#DIV/0!</v>
      </c>
      <c r="D220" s="650"/>
      <c r="E220" s="650" t="e">
        <f t="shared" si="77"/>
        <v>#DIV/0!</v>
      </c>
      <c r="F220" s="650" t="e">
        <f t="shared" si="77"/>
        <v>#DIV/0!</v>
      </c>
      <c r="G220" s="650" t="e">
        <f t="shared" si="77"/>
        <v>#DIV/0!</v>
      </c>
      <c r="H220" s="650" t="e">
        <f t="shared" si="77"/>
        <v>#DIV/0!</v>
      </c>
      <c r="I220" s="650" t="e">
        <f t="shared" si="77"/>
        <v>#DIV/0!</v>
      </c>
      <c r="J220" s="650" t="e">
        <f>J215/J216</f>
        <v>#DIV/0!</v>
      </c>
    </row>
    <row r="221" spans="1:12">
      <c r="B221" s="7"/>
      <c r="C221" s="650"/>
      <c r="D221" s="650"/>
      <c r="E221" s="650"/>
      <c r="F221" s="650"/>
      <c r="G221" s="650"/>
      <c r="H221" s="650"/>
      <c r="I221" s="650"/>
      <c r="J221" s="650"/>
    </row>
    <row r="222" spans="1:12">
      <c r="A222" s="636">
        <f>A220+1</f>
        <v>147</v>
      </c>
      <c r="B222" s="351" t="s">
        <v>566</v>
      </c>
      <c r="C222" s="650"/>
      <c r="D222" s="650"/>
      <c r="E222" s="650"/>
      <c r="F222" s="650"/>
      <c r="G222" s="650"/>
      <c r="H222" s="650"/>
      <c r="I222" s="650"/>
      <c r="J222" s="650"/>
    </row>
    <row r="223" spans="1:12">
      <c r="B223" s="7"/>
      <c r="C223" s="650"/>
      <c r="D223" s="650"/>
      <c r="E223" s="650"/>
      <c r="F223" s="650"/>
      <c r="G223" s="650"/>
      <c r="H223" s="650"/>
      <c r="I223" s="650"/>
      <c r="J223" s="650"/>
    </row>
    <row r="224" spans="1:12">
      <c r="A224" s="636">
        <f>A222+1</f>
        <v>148</v>
      </c>
      <c r="B224" s="351" t="s">
        <v>566</v>
      </c>
      <c r="C224" s="650"/>
      <c r="D224" s="650"/>
      <c r="E224" s="650"/>
      <c r="F224" s="650"/>
      <c r="G224" s="650"/>
      <c r="H224" s="650"/>
      <c r="I224" s="650"/>
      <c r="J224" s="650"/>
    </row>
    <row r="225" spans="1:10">
      <c r="A225" s="636">
        <f>A224+1</f>
        <v>149</v>
      </c>
      <c r="B225" s="351" t="s">
        <v>566</v>
      </c>
      <c r="C225" s="650"/>
      <c r="D225" s="650"/>
      <c r="E225" s="650"/>
      <c r="F225" s="650"/>
      <c r="G225" s="650"/>
      <c r="H225" s="650"/>
      <c r="I225" s="650"/>
      <c r="J225" s="650"/>
    </row>
    <row r="226" spans="1:10">
      <c r="A226" s="636">
        <f>A225+1</f>
        <v>150</v>
      </c>
      <c r="B226" s="351" t="s">
        <v>566</v>
      </c>
      <c r="C226" s="650"/>
      <c r="D226" s="650"/>
      <c r="E226" s="650"/>
      <c r="F226" s="650"/>
      <c r="G226" s="650"/>
      <c r="H226" s="650"/>
      <c r="I226" s="650"/>
      <c r="J226" s="650"/>
    </row>
    <row r="227" spans="1:10">
      <c r="B227" s="7"/>
      <c r="C227" s="650"/>
      <c r="D227" s="650"/>
      <c r="E227" s="650"/>
      <c r="F227" s="650"/>
      <c r="G227" s="650"/>
      <c r="H227" s="650"/>
      <c r="I227" s="650"/>
      <c r="J227" s="650"/>
    </row>
    <row r="228" spans="1:10" ht="15">
      <c r="A228" s="607" t="s">
        <v>537</v>
      </c>
    </row>
    <row r="229" spans="1:10">
      <c r="A229" s="636">
        <f>A226+1</f>
        <v>151</v>
      </c>
      <c r="B229" s="7" t="str">
        <f>"LTD Capital Cost Rate (Ln "&amp;A199&amp;" / Ln "&amp;A188&amp;")"</f>
        <v>LTD Capital Cost Rate (Ln 132 / Ln 124)</v>
      </c>
      <c r="C229" s="650" t="e">
        <f t="shared" ref="C229:J229" si="78">C199/C188</f>
        <v>#DIV/0!</v>
      </c>
      <c r="D229" s="650"/>
      <c r="E229" s="650" t="e">
        <f t="shared" si="78"/>
        <v>#DIV/0!</v>
      </c>
      <c r="F229" s="650" t="e">
        <f t="shared" si="78"/>
        <v>#DIV/0!</v>
      </c>
      <c r="G229" s="650" t="e">
        <f t="shared" si="78"/>
        <v>#DIV/0!</v>
      </c>
      <c r="H229" s="650" t="e">
        <f t="shared" si="78"/>
        <v>#DIV/0!</v>
      </c>
      <c r="I229" s="650" t="e">
        <f t="shared" si="78"/>
        <v>#DIV/0!</v>
      </c>
      <c r="J229" s="650" t="e">
        <f t="shared" si="78"/>
        <v>#DIV/0!</v>
      </c>
    </row>
    <row r="230" spans="1:10">
      <c r="A230" s="636">
        <f>A229+1</f>
        <v>152</v>
      </c>
      <c r="B230" s="7" t="str">
        <f>"Preferred Stock Capital Cost Rate (Ln "&amp;A203&amp;" / Ln "&amp;A202&amp;")"</f>
        <v>Preferred Stock Capital Cost Rate (Ln 134 / Ln 133)</v>
      </c>
      <c r="C230" s="650">
        <f t="shared" ref="C230:J230" si="79">IF(C202=0,0,C203/C202)</f>
        <v>0</v>
      </c>
      <c r="D230" s="650"/>
      <c r="E230" s="650">
        <f t="shared" si="79"/>
        <v>0</v>
      </c>
      <c r="F230" s="650">
        <f t="shared" si="79"/>
        <v>0</v>
      </c>
      <c r="G230" s="650">
        <f t="shared" si="79"/>
        <v>0</v>
      </c>
      <c r="H230" s="650">
        <f t="shared" si="79"/>
        <v>0</v>
      </c>
      <c r="I230" s="650">
        <f t="shared" si="79"/>
        <v>0</v>
      </c>
      <c r="J230" s="650">
        <f t="shared" si="79"/>
        <v>0</v>
      </c>
    </row>
    <row r="231" spans="1:10">
      <c r="A231" s="636">
        <f>A230+1</f>
        <v>153</v>
      </c>
      <c r="B231" s="7" t="s">
        <v>538</v>
      </c>
      <c r="C231" s="650">
        <v>0.1149</v>
      </c>
      <c r="D231" s="650"/>
      <c r="E231" s="650">
        <v>0.1149</v>
      </c>
      <c r="F231" s="650">
        <v>0.1149</v>
      </c>
      <c r="G231" s="650">
        <v>0.1149</v>
      </c>
      <c r="H231" s="650">
        <v>0.1149</v>
      </c>
      <c r="I231" s="650">
        <v>0.1149</v>
      </c>
      <c r="J231" s="650">
        <v>0.1149</v>
      </c>
    </row>
    <row r="233" spans="1:10" ht="15">
      <c r="A233" s="607" t="s">
        <v>539</v>
      </c>
    </row>
    <row r="234" spans="1:10">
      <c r="A234" s="636">
        <f>A231+1</f>
        <v>154</v>
      </c>
      <c r="B234" s="7" t="str">
        <f>"LTD Weighted Capital Cost Rate (Ln "&amp;A218&amp;" * Ln "&amp;A229&amp;")"</f>
        <v>LTD Weighted Capital Cost Rate (Ln 144 * Ln 151)</v>
      </c>
      <c r="C234" s="650" t="e">
        <f>C218*C229</f>
        <v>#DIV/0!</v>
      </c>
      <c r="D234" s="650"/>
      <c r="E234" s="650" t="e">
        <f t="shared" ref="E234:J234" si="80">E218*E229</f>
        <v>#DIV/0!</v>
      </c>
      <c r="F234" s="650" t="e">
        <f t="shared" si="80"/>
        <v>#DIV/0!</v>
      </c>
      <c r="G234" s="650" t="e">
        <f t="shared" si="80"/>
        <v>#DIV/0!</v>
      </c>
      <c r="H234" s="650" t="e">
        <f t="shared" si="80"/>
        <v>#DIV/0!</v>
      </c>
      <c r="I234" s="650" t="e">
        <f t="shared" si="80"/>
        <v>#DIV/0!</v>
      </c>
      <c r="J234" s="650" t="e">
        <f t="shared" si="80"/>
        <v>#DIV/0!</v>
      </c>
    </row>
    <row r="235" spans="1:10">
      <c r="A235" s="636">
        <f>A234+1</f>
        <v>155</v>
      </c>
      <c r="B235" s="7" t="str">
        <f>"Preferred Stock Capital Cost Rate (Ln "&amp;A219&amp;" * Ln "&amp;A230&amp;")"</f>
        <v>Preferred Stock Capital Cost Rate (Ln 145 * Ln 152)</v>
      </c>
      <c r="C235" s="650" t="e">
        <f>C219*C230</f>
        <v>#DIV/0!</v>
      </c>
      <c r="D235" s="650"/>
      <c r="E235" s="650" t="e">
        <f t="shared" ref="E235:J235" si="81">E219*E230</f>
        <v>#DIV/0!</v>
      </c>
      <c r="F235" s="650" t="e">
        <f t="shared" si="81"/>
        <v>#DIV/0!</v>
      </c>
      <c r="G235" s="650" t="e">
        <f t="shared" si="81"/>
        <v>#DIV/0!</v>
      </c>
      <c r="H235" s="650" t="e">
        <f t="shared" si="81"/>
        <v>#DIV/0!</v>
      </c>
      <c r="I235" s="650" t="e">
        <f t="shared" si="81"/>
        <v>#DIV/0!</v>
      </c>
      <c r="J235" s="650" t="e">
        <f t="shared" si="81"/>
        <v>#DIV/0!</v>
      </c>
    </row>
    <row r="236" spans="1:10">
      <c r="A236" s="636">
        <f>A235+1</f>
        <v>156</v>
      </c>
      <c r="B236" s="7" t="str">
        <f>"Common Equity Capital Cost Rate (Ln "&amp;A220&amp;" * Ln "&amp;A231&amp;")"</f>
        <v>Common Equity Capital Cost Rate (Ln 146 * Ln 153)</v>
      </c>
      <c r="C236" s="658" t="e">
        <f>C220*C231</f>
        <v>#DIV/0!</v>
      </c>
      <c r="D236" s="658"/>
      <c r="E236" s="658" t="e">
        <f t="shared" ref="E236:J236" si="82">E220*E231</f>
        <v>#DIV/0!</v>
      </c>
      <c r="F236" s="658" t="e">
        <f t="shared" si="82"/>
        <v>#DIV/0!</v>
      </c>
      <c r="G236" s="658" t="e">
        <f t="shared" si="82"/>
        <v>#DIV/0!</v>
      </c>
      <c r="H236" s="658" t="e">
        <f t="shared" si="82"/>
        <v>#DIV/0!</v>
      </c>
      <c r="I236" s="658" t="e">
        <f t="shared" si="82"/>
        <v>#DIV/0!</v>
      </c>
      <c r="J236" s="658" t="e">
        <f t="shared" si="82"/>
        <v>#DIV/0!</v>
      </c>
    </row>
    <row r="237" spans="1:10">
      <c r="A237" s="636">
        <f>A236+1</f>
        <v>157</v>
      </c>
      <c r="B237" s="656" t="s">
        <v>69</v>
      </c>
      <c r="C237" s="659" t="e">
        <f t="shared" ref="C237:J237" si="83">SUM(C234:C236)</f>
        <v>#DIV/0!</v>
      </c>
      <c r="D237" s="659"/>
      <c r="E237" s="659" t="e">
        <f t="shared" si="83"/>
        <v>#DIV/0!</v>
      </c>
      <c r="F237" s="659" t="e">
        <f t="shared" si="83"/>
        <v>#DIV/0!</v>
      </c>
      <c r="G237" s="659" t="e">
        <f t="shared" si="83"/>
        <v>#DIV/0!</v>
      </c>
      <c r="H237" s="659" t="e">
        <f t="shared" si="83"/>
        <v>#DIV/0!</v>
      </c>
      <c r="I237" s="659" t="e">
        <f t="shared" si="83"/>
        <v>#DIV/0!</v>
      </c>
      <c r="J237" s="659" t="e">
        <f t="shared" si="83"/>
        <v>#DIV/0!</v>
      </c>
    </row>
    <row r="238" spans="1:10">
      <c r="B238" s="655"/>
    </row>
  </sheetData>
  <mergeCells count="12">
    <mergeCell ref="B190:J190"/>
    <mergeCell ref="B16:J16"/>
    <mergeCell ref="A3:J3"/>
    <mergeCell ref="A4:J4"/>
    <mergeCell ref="A5:J5"/>
    <mergeCell ref="A90:J90"/>
    <mergeCell ref="A91:J91"/>
    <mergeCell ref="A92:J92"/>
    <mergeCell ref="B103:J103"/>
    <mergeCell ref="A177:J177"/>
    <mergeCell ref="A178:J178"/>
    <mergeCell ref="A179:J179"/>
  </mergeCells>
  <phoneticPr fontId="112" type="noConversion"/>
  <pageMargins left="0.5" right="0.5" top="1" bottom="1" header="0.5" footer="0.5"/>
  <pageSetup scale="51" fitToHeight="0" orientation="portrait" r:id="rId1"/>
  <headerFooter alignWithMargins="0">
    <oddHeader>&amp;RFormula Rate 
&amp;A
Page &amp;P of &amp;N</oddHeader>
  </headerFooter>
  <rowBreaks count="2" manualBreakCount="2">
    <brk id="89" max="9" man="1"/>
    <brk id="176" max="9" man="1"/>
  </rowBreaks>
  <ignoredErrors>
    <ignoredError sqref="J60"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B1:L57"/>
  <sheetViews>
    <sheetView tabSelected="1" view="pageBreakPreview" zoomScale="60" zoomScaleNormal="100" workbookViewId="0">
      <selection activeCell="B7" sqref="B7"/>
    </sheetView>
  </sheetViews>
  <sheetFormatPr defaultColWidth="8.85546875" defaultRowHeight="12.75"/>
  <cols>
    <col min="2" max="2" width="26.140625" customWidth="1"/>
    <col min="3" max="3" width="10.5703125" customWidth="1"/>
    <col min="5" max="5" width="24.5703125" customWidth="1"/>
    <col min="7" max="7" width="12.7109375" customWidth="1"/>
    <col min="9" max="9" width="18.28515625" customWidth="1"/>
    <col min="10" max="10" width="17" customWidth="1"/>
    <col min="11" max="11" width="5.5703125" customWidth="1"/>
    <col min="12" max="12" width="18.7109375" customWidth="1"/>
  </cols>
  <sheetData>
    <row r="1" spans="2:12" ht="15.75">
      <c r="B1" s="1226" t="s">
        <v>618</v>
      </c>
      <c r="C1" s="1226"/>
      <c r="D1" s="1226"/>
      <c r="E1" s="1226"/>
      <c r="F1" s="1226"/>
      <c r="G1" s="1226"/>
      <c r="H1" s="1226"/>
      <c r="I1" s="1226"/>
      <c r="J1" s="1226"/>
      <c r="K1" s="1226"/>
      <c r="L1" s="1226"/>
    </row>
    <row r="2" spans="2:12" ht="15.75">
      <c r="B2" s="1227" t="s">
        <v>565</v>
      </c>
      <c r="C2" s="1227"/>
      <c r="D2" s="1227"/>
      <c r="E2" s="1227"/>
      <c r="F2" s="1227"/>
      <c r="G2" s="1227"/>
      <c r="H2" s="1227"/>
      <c r="I2" s="1227"/>
      <c r="J2" s="1227"/>
      <c r="K2" s="1227"/>
      <c r="L2" s="1227"/>
    </row>
    <row r="3" spans="2:12" ht="18">
      <c r="B3" s="1187" t="s">
        <v>595</v>
      </c>
      <c r="C3" s="1187"/>
      <c r="D3" s="1187"/>
      <c r="E3" s="1187"/>
      <c r="F3" s="1187"/>
      <c r="G3" s="1187"/>
      <c r="H3" s="1187"/>
      <c r="I3" s="1187"/>
      <c r="J3" s="1187"/>
      <c r="K3" s="1187"/>
      <c r="L3" s="1187"/>
    </row>
    <row r="4" spans="2:12" ht="15.75">
      <c r="B4" s="132"/>
      <c r="C4" s="132"/>
      <c r="D4" s="132"/>
      <c r="E4" s="1227"/>
      <c r="F4" s="1227"/>
      <c r="G4" s="1227"/>
      <c r="H4" s="1227"/>
      <c r="I4" s="132"/>
      <c r="J4" s="132"/>
      <c r="K4" s="132"/>
      <c r="L4" s="132"/>
    </row>
    <row r="7" spans="2:12" ht="16.5" thickBot="1">
      <c r="B7" s="665"/>
      <c r="C7" s="666"/>
      <c r="D7" s="666"/>
      <c r="E7" s="666"/>
      <c r="F7" s="666"/>
      <c r="G7" s="666"/>
      <c r="H7" s="666"/>
      <c r="I7" s="666"/>
      <c r="J7" s="666"/>
      <c r="K7" s="666"/>
      <c r="L7" s="666"/>
    </row>
    <row r="8" spans="2:12" ht="47.25">
      <c r="B8" s="667"/>
      <c r="C8" s="666"/>
      <c r="D8" s="666"/>
      <c r="E8" s="667"/>
      <c r="F8" s="666"/>
      <c r="G8" s="666"/>
      <c r="H8" s="132"/>
      <c r="I8" s="959" t="s">
        <v>567</v>
      </c>
      <c r="J8" s="132"/>
      <c r="K8" s="132"/>
      <c r="L8" s="960" t="s">
        <v>416</v>
      </c>
    </row>
    <row r="9" spans="2:12" ht="15.75">
      <c r="B9" s="668" t="s">
        <v>416</v>
      </c>
      <c r="C9" s="666"/>
      <c r="D9" s="666"/>
      <c r="E9" s="668"/>
      <c r="F9" s="666"/>
      <c r="G9" s="666"/>
      <c r="H9" s="132"/>
      <c r="I9" s="669"/>
      <c r="J9" s="132"/>
      <c r="K9" s="132"/>
      <c r="L9" s="961"/>
    </row>
    <row r="10" spans="2:12" ht="24" thickBot="1">
      <c r="B10" s="664">
        <v>0</v>
      </c>
      <c r="C10" s="962" t="str">
        <f>"-"</f>
        <v>-</v>
      </c>
      <c r="D10" s="670"/>
      <c r="E10" s="664">
        <v>0</v>
      </c>
      <c r="F10" s="671"/>
      <c r="G10" s="963" t="str">
        <f>"="</f>
        <v>=</v>
      </c>
      <c r="H10" s="672"/>
      <c r="I10" s="673">
        <f>IF(B10=0,0,E10-B10)</f>
        <v>0</v>
      </c>
      <c r="J10" s="132"/>
      <c r="K10" s="132"/>
      <c r="L10" s="132"/>
    </row>
    <row r="11" spans="2:12" ht="15.75">
      <c r="B11" s="674"/>
      <c r="C11" s="675"/>
      <c r="D11" s="675"/>
      <c r="E11" s="674"/>
      <c r="F11" s="674"/>
      <c r="G11" s="675"/>
      <c r="H11" s="674"/>
      <c r="I11" s="132"/>
      <c r="J11" s="132"/>
      <c r="K11" s="132"/>
      <c r="L11" s="132"/>
    </row>
    <row r="12" spans="2:12" ht="16.5" thickBot="1">
      <c r="B12" s="676"/>
      <c r="C12" s="677"/>
      <c r="D12" s="677"/>
      <c r="E12" s="676"/>
      <c r="F12" s="676"/>
      <c r="G12" s="677"/>
      <c r="H12" s="676"/>
      <c r="I12" s="678"/>
      <c r="J12" s="678"/>
      <c r="K12" s="678"/>
      <c r="L12" s="678"/>
    </row>
    <row r="13" spans="2:12" ht="15.75">
      <c r="B13" s="679"/>
      <c r="C13" s="675"/>
      <c r="D13" s="675"/>
      <c r="E13" s="674"/>
      <c r="F13" s="674"/>
      <c r="G13" s="675"/>
      <c r="H13" s="674"/>
      <c r="I13" s="132"/>
      <c r="J13" s="132"/>
      <c r="K13" s="132"/>
      <c r="L13" s="132"/>
    </row>
    <row r="14" spans="2:12" ht="47.25">
      <c r="B14" s="680" t="s">
        <v>802</v>
      </c>
      <c r="C14" s="675"/>
      <c r="D14" s="675"/>
      <c r="E14" s="681" t="s">
        <v>568</v>
      </c>
      <c r="F14" s="674"/>
      <c r="G14" s="681" t="s">
        <v>569</v>
      </c>
      <c r="H14" s="682" t="s">
        <v>570</v>
      </c>
      <c r="I14" s="683" t="s">
        <v>571</v>
      </c>
      <c r="J14" s="681" t="s">
        <v>572</v>
      </c>
      <c r="K14" s="684"/>
      <c r="L14" s="681" t="s">
        <v>573</v>
      </c>
    </row>
    <row r="15" spans="2:12" ht="15.75">
      <c r="B15" s="680" t="s">
        <v>803</v>
      </c>
      <c r="C15" s="675"/>
      <c r="D15" s="675"/>
      <c r="E15" s="132"/>
      <c r="F15" s="685"/>
      <c r="G15" s="697"/>
      <c r="I15" s="132"/>
      <c r="J15" s="132"/>
      <c r="K15" s="132"/>
      <c r="L15" s="132"/>
    </row>
    <row r="16" spans="2:12" ht="15.75">
      <c r="B16" s="680"/>
      <c r="C16" s="675"/>
      <c r="D16" s="675"/>
      <c r="E16" s="132"/>
      <c r="F16" s="685"/>
      <c r="G16" s="685"/>
      <c r="H16" s="674"/>
      <c r="I16" s="132"/>
      <c r="J16" s="132"/>
      <c r="K16" s="132"/>
      <c r="L16" s="132"/>
    </row>
    <row r="17" spans="2:12" ht="15.75">
      <c r="B17" s="680"/>
      <c r="C17" s="675"/>
      <c r="D17" s="675"/>
      <c r="E17" s="132"/>
      <c r="F17" s="685"/>
      <c r="G17" s="685"/>
      <c r="H17" s="674"/>
      <c r="I17" s="132"/>
      <c r="J17" s="132"/>
      <c r="K17" s="132"/>
      <c r="L17" s="132"/>
    </row>
    <row r="18" spans="2:12" ht="15.75">
      <c r="B18" s="686" t="s">
        <v>416</v>
      </c>
      <c r="C18" s="675"/>
      <c r="D18" s="675"/>
      <c r="E18" s="675"/>
      <c r="F18" s="675"/>
      <c r="G18" s="675" t="s">
        <v>416</v>
      </c>
      <c r="H18" s="132"/>
      <c r="I18" s="132"/>
      <c r="J18" s="132"/>
      <c r="K18" s="132"/>
      <c r="L18" s="132"/>
    </row>
    <row r="19" spans="2:12" ht="15.75">
      <c r="B19" s="687"/>
      <c r="C19" s="675"/>
      <c r="D19" s="675"/>
      <c r="E19" s="675"/>
      <c r="F19" s="675"/>
      <c r="G19" s="132"/>
      <c r="H19" s="132"/>
      <c r="I19" s="682"/>
      <c r="J19" s="675"/>
      <c r="K19" s="675"/>
      <c r="L19" s="675"/>
    </row>
    <row r="20" spans="2:12" ht="15.75">
      <c r="B20" s="687" t="s">
        <v>574</v>
      </c>
      <c r="C20" s="675"/>
      <c r="D20" s="675"/>
      <c r="E20" s="675"/>
      <c r="F20" s="675"/>
      <c r="G20" s="132"/>
      <c r="H20" s="132"/>
      <c r="I20" s="682" t="s">
        <v>575</v>
      </c>
      <c r="J20" s="675"/>
      <c r="K20" s="675"/>
      <c r="L20" s="675"/>
    </row>
    <row r="21" spans="2:12" ht="15.75">
      <c r="B21" s="666" t="s">
        <v>576</v>
      </c>
      <c r="C21" s="666" t="str">
        <f>"Year 2024"</f>
        <v>Year 2024</v>
      </c>
      <c r="D21" s="666"/>
      <c r="E21" s="688">
        <f>I10/12</f>
        <v>0</v>
      </c>
      <c r="F21" s="688"/>
      <c r="G21" s="689">
        <f>+G15</f>
        <v>0</v>
      </c>
      <c r="H21" s="675">
        <v>12</v>
      </c>
      <c r="I21" s="688">
        <f>G21*E21*H21*-1</f>
        <v>0</v>
      </c>
      <c r="J21" s="688"/>
      <c r="K21" s="688"/>
      <c r="L21" s="688">
        <f>(-I21+E21)*-1</f>
        <v>0</v>
      </c>
    </row>
    <row r="22" spans="2:12" ht="15.75">
      <c r="B22" s="666" t="s">
        <v>577</v>
      </c>
      <c r="C22" s="666" t="str">
        <f>C21</f>
        <v>Year 2024</v>
      </c>
      <c r="D22" s="666"/>
      <c r="E22" s="688">
        <f>+E21</f>
        <v>0</v>
      </c>
      <c r="F22" s="688"/>
      <c r="G22" s="689">
        <f>+G21</f>
        <v>0</v>
      </c>
      <c r="H22" s="675">
        <f t="shared" ref="H22:H32" si="0">+H21-1</f>
        <v>11</v>
      </c>
      <c r="I22" s="688">
        <f t="shared" ref="I22:I32" si="1">G22*E22*H22*-1</f>
        <v>0</v>
      </c>
      <c r="J22" s="688"/>
      <c r="K22" s="688"/>
      <c r="L22" s="688">
        <f t="shared" ref="L22:L32" si="2">(-I22+E22)*-1</f>
        <v>0</v>
      </c>
    </row>
    <row r="23" spans="2:12" ht="15.75">
      <c r="B23" s="666" t="s">
        <v>578</v>
      </c>
      <c r="C23" s="666" t="str">
        <f t="shared" ref="C23:C32" si="3">C22</f>
        <v>Year 2024</v>
      </c>
      <c r="D23" s="666"/>
      <c r="E23" s="688">
        <f t="shared" ref="E23:E32" si="4">+E22</f>
        <v>0</v>
      </c>
      <c r="F23" s="688"/>
      <c r="G23" s="689">
        <f t="shared" ref="G23:G32" si="5">+G22</f>
        <v>0</v>
      </c>
      <c r="H23" s="675">
        <f t="shared" si="0"/>
        <v>10</v>
      </c>
      <c r="I23" s="688">
        <f t="shared" si="1"/>
        <v>0</v>
      </c>
      <c r="J23" s="688"/>
      <c r="K23" s="688"/>
      <c r="L23" s="688">
        <f t="shared" si="2"/>
        <v>0</v>
      </c>
    </row>
    <row r="24" spans="2:12" ht="15.75">
      <c r="B24" s="666" t="s">
        <v>579</v>
      </c>
      <c r="C24" s="666" t="str">
        <f t="shared" si="3"/>
        <v>Year 2024</v>
      </c>
      <c r="D24" s="666"/>
      <c r="E24" s="688">
        <f t="shared" si="4"/>
        <v>0</v>
      </c>
      <c r="F24" s="688"/>
      <c r="G24" s="689">
        <f t="shared" si="5"/>
        <v>0</v>
      </c>
      <c r="H24" s="675">
        <f t="shared" si="0"/>
        <v>9</v>
      </c>
      <c r="I24" s="688">
        <f t="shared" si="1"/>
        <v>0</v>
      </c>
      <c r="J24" s="688"/>
      <c r="K24" s="688"/>
      <c r="L24" s="688">
        <f t="shared" si="2"/>
        <v>0</v>
      </c>
    </row>
    <row r="25" spans="2:12" ht="15.75">
      <c r="B25" s="666" t="s">
        <v>580</v>
      </c>
      <c r="C25" s="666" t="str">
        <f t="shared" si="3"/>
        <v>Year 2024</v>
      </c>
      <c r="D25" s="666"/>
      <c r="E25" s="688">
        <f t="shared" si="4"/>
        <v>0</v>
      </c>
      <c r="F25" s="688"/>
      <c r="G25" s="689">
        <f t="shared" si="5"/>
        <v>0</v>
      </c>
      <c r="H25" s="675">
        <f t="shared" si="0"/>
        <v>8</v>
      </c>
      <c r="I25" s="688">
        <f t="shared" si="1"/>
        <v>0</v>
      </c>
      <c r="J25" s="688"/>
      <c r="K25" s="688"/>
      <c r="L25" s="688">
        <f t="shared" si="2"/>
        <v>0</v>
      </c>
    </row>
    <row r="26" spans="2:12" ht="15.75">
      <c r="B26" s="666" t="s">
        <v>581</v>
      </c>
      <c r="C26" s="666" t="str">
        <f t="shared" si="3"/>
        <v>Year 2024</v>
      </c>
      <c r="D26" s="666"/>
      <c r="E26" s="688">
        <f t="shared" si="4"/>
        <v>0</v>
      </c>
      <c r="F26" s="688"/>
      <c r="G26" s="689">
        <f t="shared" si="5"/>
        <v>0</v>
      </c>
      <c r="H26" s="675">
        <f t="shared" si="0"/>
        <v>7</v>
      </c>
      <c r="I26" s="688">
        <f t="shared" si="1"/>
        <v>0</v>
      </c>
      <c r="J26" s="688"/>
      <c r="K26" s="688"/>
      <c r="L26" s="688">
        <f t="shared" si="2"/>
        <v>0</v>
      </c>
    </row>
    <row r="27" spans="2:12" ht="15.75">
      <c r="B27" s="666" t="s">
        <v>582</v>
      </c>
      <c r="C27" s="666" t="str">
        <f t="shared" si="3"/>
        <v>Year 2024</v>
      </c>
      <c r="D27" s="666"/>
      <c r="E27" s="688">
        <f t="shared" si="4"/>
        <v>0</v>
      </c>
      <c r="F27" s="688"/>
      <c r="G27" s="689">
        <f t="shared" si="5"/>
        <v>0</v>
      </c>
      <c r="H27" s="675">
        <f t="shared" si="0"/>
        <v>6</v>
      </c>
      <c r="I27" s="688">
        <f t="shared" si="1"/>
        <v>0</v>
      </c>
      <c r="J27" s="688"/>
      <c r="K27" s="688"/>
      <c r="L27" s="688">
        <f t="shared" si="2"/>
        <v>0</v>
      </c>
    </row>
    <row r="28" spans="2:12" ht="15.75">
      <c r="B28" s="666" t="s">
        <v>583</v>
      </c>
      <c r="C28" s="666" t="str">
        <f t="shared" si="3"/>
        <v>Year 2024</v>
      </c>
      <c r="D28" s="666"/>
      <c r="E28" s="688">
        <f t="shared" si="4"/>
        <v>0</v>
      </c>
      <c r="F28" s="688"/>
      <c r="G28" s="689">
        <f t="shared" si="5"/>
        <v>0</v>
      </c>
      <c r="H28" s="675">
        <f t="shared" si="0"/>
        <v>5</v>
      </c>
      <c r="I28" s="688">
        <f t="shared" si="1"/>
        <v>0</v>
      </c>
      <c r="J28" s="688"/>
      <c r="K28" s="688"/>
      <c r="L28" s="688">
        <f t="shared" si="2"/>
        <v>0</v>
      </c>
    </row>
    <row r="29" spans="2:12" ht="15.75">
      <c r="B29" s="666" t="s">
        <v>584</v>
      </c>
      <c r="C29" s="666" t="str">
        <f t="shared" si="3"/>
        <v>Year 2024</v>
      </c>
      <c r="D29" s="666"/>
      <c r="E29" s="688">
        <f t="shared" si="4"/>
        <v>0</v>
      </c>
      <c r="F29" s="688"/>
      <c r="G29" s="689">
        <f t="shared" si="5"/>
        <v>0</v>
      </c>
      <c r="H29" s="675">
        <f t="shared" si="0"/>
        <v>4</v>
      </c>
      <c r="I29" s="688">
        <f t="shared" si="1"/>
        <v>0</v>
      </c>
      <c r="J29" s="688"/>
      <c r="K29" s="688"/>
      <c r="L29" s="688">
        <f t="shared" si="2"/>
        <v>0</v>
      </c>
    </row>
    <row r="30" spans="2:12" ht="15.75">
      <c r="B30" s="666" t="s">
        <v>585</v>
      </c>
      <c r="C30" s="666" t="str">
        <f t="shared" si="3"/>
        <v>Year 2024</v>
      </c>
      <c r="D30" s="666"/>
      <c r="E30" s="688">
        <f t="shared" si="4"/>
        <v>0</v>
      </c>
      <c r="F30" s="688"/>
      <c r="G30" s="689">
        <f t="shared" si="5"/>
        <v>0</v>
      </c>
      <c r="H30" s="675">
        <f t="shared" si="0"/>
        <v>3</v>
      </c>
      <c r="I30" s="688">
        <f t="shared" si="1"/>
        <v>0</v>
      </c>
      <c r="J30" s="688"/>
      <c r="K30" s="688"/>
      <c r="L30" s="688">
        <f t="shared" si="2"/>
        <v>0</v>
      </c>
    </row>
    <row r="31" spans="2:12" ht="15.75">
      <c r="B31" s="666" t="s">
        <v>586</v>
      </c>
      <c r="C31" s="666" t="str">
        <f t="shared" si="3"/>
        <v>Year 2024</v>
      </c>
      <c r="D31" s="666"/>
      <c r="E31" s="688">
        <f t="shared" si="4"/>
        <v>0</v>
      </c>
      <c r="F31" s="688"/>
      <c r="G31" s="689">
        <f t="shared" si="5"/>
        <v>0</v>
      </c>
      <c r="H31" s="675">
        <f t="shared" si="0"/>
        <v>2</v>
      </c>
      <c r="I31" s="688">
        <f t="shared" si="1"/>
        <v>0</v>
      </c>
      <c r="J31" s="688"/>
      <c r="K31" s="688"/>
      <c r="L31" s="688">
        <f t="shared" si="2"/>
        <v>0</v>
      </c>
    </row>
    <row r="32" spans="2:12" ht="15.75">
      <c r="B32" s="666" t="s">
        <v>587</v>
      </c>
      <c r="C32" s="666" t="str">
        <f t="shared" si="3"/>
        <v>Year 2024</v>
      </c>
      <c r="D32" s="666"/>
      <c r="E32" s="688">
        <f t="shared" si="4"/>
        <v>0</v>
      </c>
      <c r="F32" s="688"/>
      <c r="G32" s="689">
        <f t="shared" si="5"/>
        <v>0</v>
      </c>
      <c r="H32" s="675">
        <f t="shared" si="0"/>
        <v>1</v>
      </c>
      <c r="I32" s="690">
        <f t="shared" si="1"/>
        <v>0</v>
      </c>
      <c r="J32" s="688"/>
      <c r="K32" s="688"/>
      <c r="L32" s="688">
        <f t="shared" si="2"/>
        <v>0</v>
      </c>
    </row>
    <row r="33" spans="2:12" ht="15.75">
      <c r="B33" s="666"/>
      <c r="C33" s="666"/>
      <c r="D33" s="666"/>
      <c r="E33" s="688"/>
      <c r="F33" s="688"/>
      <c r="G33" s="689"/>
      <c r="H33" s="666"/>
      <c r="I33" s="688">
        <f>SUM(I21:I32)</f>
        <v>0</v>
      </c>
      <c r="J33" s="688"/>
      <c r="K33" s="688"/>
      <c r="L33" s="691">
        <f>SUM(L21:L32)</f>
        <v>0</v>
      </c>
    </row>
    <row r="34" spans="2:12" ht="15.75">
      <c r="B34" s="666"/>
      <c r="C34" s="666"/>
      <c r="D34" s="666"/>
      <c r="E34" s="688"/>
      <c r="F34" s="688"/>
      <c r="G34" s="689"/>
      <c r="H34" s="666"/>
      <c r="I34" s="688"/>
      <c r="J34" s="688" t="s">
        <v>416</v>
      </c>
      <c r="K34" s="688"/>
      <c r="L34" s="132"/>
    </row>
    <row r="35" spans="2:12" ht="15.75">
      <c r="B35" s="666"/>
      <c r="C35" s="666"/>
      <c r="D35" s="666"/>
      <c r="E35" s="674"/>
      <c r="F35" s="674"/>
      <c r="G35" s="689"/>
      <c r="H35" s="666"/>
      <c r="I35" s="692" t="s">
        <v>588</v>
      </c>
      <c r="J35" s="688"/>
      <c r="K35" s="688"/>
      <c r="L35" s="688"/>
    </row>
    <row r="36" spans="2:12" ht="15.75">
      <c r="B36" s="666" t="s">
        <v>589</v>
      </c>
      <c r="C36" s="666" t="str">
        <f>"Year 2025"</f>
        <v>Year 2025</v>
      </c>
      <c r="D36" s="666"/>
      <c r="E36" s="674">
        <f>L33</f>
        <v>0</v>
      </c>
      <c r="F36" s="674"/>
      <c r="G36" s="689">
        <f>+G32</f>
        <v>0</v>
      </c>
      <c r="H36" s="675">
        <v>12</v>
      </c>
      <c r="I36" s="688">
        <f>+H36*G36*E36</f>
        <v>0</v>
      </c>
      <c r="J36" s="688"/>
      <c r="K36" s="688"/>
      <c r="L36" s="691">
        <f>+E36+I36</f>
        <v>0</v>
      </c>
    </row>
    <row r="37" spans="2:12" ht="15.75">
      <c r="B37" s="666"/>
      <c r="C37" s="666"/>
      <c r="D37" s="666"/>
      <c r="E37" s="674"/>
      <c r="F37" s="674"/>
      <c r="G37" s="689"/>
      <c r="H37" s="666"/>
      <c r="I37" s="688"/>
      <c r="J37" s="688"/>
      <c r="K37" s="688"/>
      <c r="L37" s="688"/>
    </row>
    <row r="38" spans="2:12" ht="15.75">
      <c r="B38" s="693" t="s">
        <v>590</v>
      </c>
      <c r="C38" s="666"/>
      <c r="D38" s="666"/>
      <c r="E38" s="688"/>
      <c r="F38" s="688"/>
      <c r="G38" s="689"/>
      <c r="H38" s="666"/>
      <c r="I38" s="692" t="s">
        <v>575</v>
      </c>
      <c r="J38" s="688"/>
      <c r="K38" s="688"/>
      <c r="L38" s="688"/>
    </row>
    <row r="39" spans="2:12" ht="15.75">
      <c r="B39" s="666" t="s">
        <v>576</v>
      </c>
      <c r="C39" s="666" t="str">
        <f>"Year 2026"</f>
        <v>Year 2026</v>
      </c>
      <c r="D39" s="666"/>
      <c r="E39" s="674">
        <f>-L36</f>
        <v>0</v>
      </c>
      <c r="F39" s="674"/>
      <c r="G39" s="689">
        <f>+G32</f>
        <v>0</v>
      </c>
      <c r="H39" s="675" t="s">
        <v>416</v>
      </c>
      <c r="I39" s="688">
        <f xml:space="preserve"> -G39*E39</f>
        <v>0</v>
      </c>
      <c r="J39" s="688">
        <f>PMT(G39,12,L$36)</f>
        <v>0</v>
      </c>
      <c r="K39" s="688"/>
      <c r="L39" s="688">
        <f>(+E39+E39*G39-J39)*-1</f>
        <v>0</v>
      </c>
    </row>
    <row r="40" spans="2:12" ht="15.75">
      <c r="B40" s="666" t="s">
        <v>577</v>
      </c>
      <c r="C40" s="666" t="str">
        <f>+C39</f>
        <v>Year 2026</v>
      </c>
      <c r="D40" s="666"/>
      <c r="E40" s="674">
        <f>-L39</f>
        <v>0</v>
      </c>
      <c r="F40" s="674"/>
      <c r="G40" s="689">
        <f>+G39</f>
        <v>0</v>
      </c>
      <c r="H40" s="675" t="s">
        <v>416</v>
      </c>
      <c r="I40" s="688">
        <f xml:space="preserve"> -G40*E40</f>
        <v>0</v>
      </c>
      <c r="J40" s="688">
        <f>J39</f>
        <v>0</v>
      </c>
      <c r="K40" s="688"/>
      <c r="L40" s="688">
        <f t="shared" ref="L40:L50" si="6">(+E40+E40*G40-J40)*-1</f>
        <v>0</v>
      </c>
    </row>
    <row r="41" spans="2:12" ht="15.75">
      <c r="B41" s="666" t="s">
        <v>578</v>
      </c>
      <c r="C41" s="666" t="str">
        <f>+C40</f>
        <v>Year 2026</v>
      </c>
      <c r="D41" s="666"/>
      <c r="E41" s="674">
        <f t="shared" ref="E41:E50" si="7">-L40</f>
        <v>0</v>
      </c>
      <c r="F41" s="674"/>
      <c r="G41" s="689">
        <f t="shared" ref="G41:G50" si="8">+G40</f>
        <v>0</v>
      </c>
      <c r="H41" s="675" t="s">
        <v>416</v>
      </c>
      <c r="I41" s="688">
        <f t="shared" ref="I41:I50" si="9" xml:space="preserve"> -G41*E41</f>
        <v>0</v>
      </c>
      <c r="J41" s="688">
        <f t="shared" ref="J41:J50" si="10">J40</f>
        <v>0</v>
      </c>
      <c r="K41" s="688"/>
      <c r="L41" s="688">
        <f t="shared" si="6"/>
        <v>0</v>
      </c>
    </row>
    <row r="42" spans="2:12" ht="15.75">
      <c r="B42" s="666" t="s">
        <v>579</v>
      </c>
      <c r="C42" s="666" t="str">
        <f>+C41</f>
        <v>Year 2026</v>
      </c>
      <c r="D42" s="666"/>
      <c r="E42" s="674">
        <f t="shared" si="7"/>
        <v>0</v>
      </c>
      <c r="F42" s="674"/>
      <c r="G42" s="689">
        <f t="shared" si="8"/>
        <v>0</v>
      </c>
      <c r="H42" s="675" t="s">
        <v>416</v>
      </c>
      <c r="I42" s="688">
        <f t="shared" si="9"/>
        <v>0</v>
      </c>
      <c r="J42" s="688">
        <f t="shared" si="10"/>
        <v>0</v>
      </c>
      <c r="K42" s="688"/>
      <c r="L42" s="688">
        <f t="shared" si="6"/>
        <v>0</v>
      </c>
    </row>
    <row r="43" spans="2:12" ht="15.75">
      <c r="B43" s="666" t="s">
        <v>580</v>
      </c>
      <c r="C43" s="666" t="str">
        <f>+C42</f>
        <v>Year 2026</v>
      </c>
      <c r="D43" s="666"/>
      <c r="E43" s="674">
        <f t="shared" si="7"/>
        <v>0</v>
      </c>
      <c r="F43" s="674"/>
      <c r="G43" s="689">
        <f t="shared" si="8"/>
        <v>0</v>
      </c>
      <c r="H43" s="675" t="s">
        <v>416</v>
      </c>
      <c r="I43" s="688">
        <f t="shared" si="9"/>
        <v>0</v>
      </c>
      <c r="J43" s="688">
        <f>J42</f>
        <v>0</v>
      </c>
      <c r="K43" s="688"/>
      <c r="L43" s="688">
        <f t="shared" si="6"/>
        <v>0</v>
      </c>
    </row>
    <row r="44" spans="2:12" ht="15.75">
      <c r="B44" s="666" t="s">
        <v>581</v>
      </c>
      <c r="C44" s="666" t="str">
        <f>C43</f>
        <v>Year 2026</v>
      </c>
      <c r="D44" s="132"/>
      <c r="E44" s="674">
        <f t="shared" si="7"/>
        <v>0</v>
      </c>
      <c r="F44" s="674"/>
      <c r="G44" s="689">
        <f t="shared" si="8"/>
        <v>0</v>
      </c>
      <c r="H44" s="675" t="s">
        <v>416</v>
      </c>
      <c r="I44" s="688">
        <f t="shared" si="9"/>
        <v>0</v>
      </c>
      <c r="J44" s="688">
        <f t="shared" si="10"/>
        <v>0</v>
      </c>
      <c r="K44" s="688"/>
      <c r="L44" s="688">
        <f t="shared" si="6"/>
        <v>0</v>
      </c>
    </row>
    <row r="45" spans="2:12" ht="15.75">
      <c r="B45" s="666" t="s">
        <v>582</v>
      </c>
      <c r="C45" s="666" t="str">
        <f t="shared" ref="C45:C50" si="11">+C44</f>
        <v>Year 2026</v>
      </c>
      <c r="D45" s="666"/>
      <c r="E45" s="674">
        <f t="shared" si="7"/>
        <v>0</v>
      </c>
      <c r="F45" s="674"/>
      <c r="G45" s="689">
        <f t="shared" si="8"/>
        <v>0</v>
      </c>
      <c r="H45" s="675" t="s">
        <v>416</v>
      </c>
      <c r="I45" s="688">
        <f t="shared" si="9"/>
        <v>0</v>
      </c>
      <c r="J45" s="688">
        <f t="shared" si="10"/>
        <v>0</v>
      </c>
      <c r="K45" s="688"/>
      <c r="L45" s="688">
        <f t="shared" si="6"/>
        <v>0</v>
      </c>
    </row>
    <row r="46" spans="2:12" ht="15.75">
      <c r="B46" s="666" t="s">
        <v>583</v>
      </c>
      <c r="C46" s="666" t="str">
        <f t="shared" si="11"/>
        <v>Year 2026</v>
      </c>
      <c r="D46" s="666"/>
      <c r="E46" s="674">
        <f t="shared" si="7"/>
        <v>0</v>
      </c>
      <c r="F46" s="674"/>
      <c r="G46" s="689">
        <f t="shared" si="8"/>
        <v>0</v>
      </c>
      <c r="H46" s="675" t="s">
        <v>416</v>
      </c>
      <c r="I46" s="688">
        <f t="shared" si="9"/>
        <v>0</v>
      </c>
      <c r="J46" s="688">
        <f t="shared" si="10"/>
        <v>0</v>
      </c>
      <c r="K46" s="688"/>
      <c r="L46" s="688">
        <f t="shared" si="6"/>
        <v>0</v>
      </c>
    </row>
    <row r="47" spans="2:12" ht="15.75">
      <c r="B47" s="666" t="s">
        <v>584</v>
      </c>
      <c r="C47" s="666" t="str">
        <f t="shared" si="11"/>
        <v>Year 2026</v>
      </c>
      <c r="D47" s="666"/>
      <c r="E47" s="674">
        <f t="shared" si="7"/>
        <v>0</v>
      </c>
      <c r="F47" s="674"/>
      <c r="G47" s="689">
        <f t="shared" si="8"/>
        <v>0</v>
      </c>
      <c r="H47" s="675" t="s">
        <v>416</v>
      </c>
      <c r="I47" s="688">
        <f t="shared" si="9"/>
        <v>0</v>
      </c>
      <c r="J47" s="688">
        <f>J46</f>
        <v>0</v>
      </c>
      <c r="K47" s="688"/>
      <c r="L47" s="688">
        <f t="shared" si="6"/>
        <v>0</v>
      </c>
    </row>
    <row r="48" spans="2:12" ht="15.75">
      <c r="B48" s="666" t="s">
        <v>585</v>
      </c>
      <c r="C48" s="666" t="str">
        <f t="shared" si="11"/>
        <v>Year 2026</v>
      </c>
      <c r="D48" s="666"/>
      <c r="E48" s="674">
        <f t="shared" si="7"/>
        <v>0</v>
      </c>
      <c r="F48" s="674"/>
      <c r="G48" s="689">
        <f t="shared" si="8"/>
        <v>0</v>
      </c>
      <c r="H48" s="675" t="s">
        <v>416</v>
      </c>
      <c r="I48" s="688">
        <f t="shared" si="9"/>
        <v>0</v>
      </c>
      <c r="J48" s="688">
        <f t="shared" si="10"/>
        <v>0</v>
      </c>
      <c r="K48" s="688"/>
      <c r="L48" s="688">
        <f t="shared" si="6"/>
        <v>0</v>
      </c>
    </row>
    <row r="49" spans="2:12" ht="15.75">
      <c r="B49" s="666" t="s">
        <v>586</v>
      </c>
      <c r="C49" s="666" t="str">
        <f t="shared" si="11"/>
        <v>Year 2026</v>
      </c>
      <c r="D49" s="666"/>
      <c r="E49" s="674">
        <f t="shared" si="7"/>
        <v>0</v>
      </c>
      <c r="F49" s="674"/>
      <c r="G49" s="689">
        <f t="shared" si="8"/>
        <v>0</v>
      </c>
      <c r="H49" s="675" t="s">
        <v>416</v>
      </c>
      <c r="I49" s="688">
        <f t="shared" si="9"/>
        <v>0</v>
      </c>
      <c r="J49" s="688">
        <f t="shared" si="10"/>
        <v>0</v>
      </c>
      <c r="K49" s="688"/>
      <c r="L49" s="688">
        <f t="shared" si="6"/>
        <v>0</v>
      </c>
    </row>
    <row r="50" spans="2:12" ht="15.75">
      <c r="B50" s="666" t="s">
        <v>587</v>
      </c>
      <c r="C50" s="666" t="str">
        <f t="shared" si="11"/>
        <v>Year 2026</v>
      </c>
      <c r="D50" s="666"/>
      <c r="E50" s="674">
        <f t="shared" si="7"/>
        <v>0</v>
      </c>
      <c r="F50" s="674"/>
      <c r="G50" s="689">
        <f t="shared" si="8"/>
        <v>0</v>
      </c>
      <c r="H50" s="675" t="s">
        <v>416</v>
      </c>
      <c r="I50" s="690">
        <f t="shared" si="9"/>
        <v>0</v>
      </c>
      <c r="J50" s="688">
        <f t="shared" si="10"/>
        <v>0</v>
      </c>
      <c r="K50" s="688"/>
      <c r="L50" s="688">
        <f t="shared" si="6"/>
        <v>0</v>
      </c>
    </row>
    <row r="51" spans="2:12" ht="15.75">
      <c r="B51" s="666"/>
      <c r="C51" s="666"/>
      <c r="D51" s="666"/>
      <c r="E51" s="674"/>
      <c r="F51" s="674"/>
      <c r="G51" s="689"/>
      <c r="H51" s="666"/>
      <c r="I51" s="688">
        <f>SUM(I39:I50)</f>
        <v>0</v>
      </c>
      <c r="J51" s="688"/>
      <c r="K51" s="688"/>
      <c r="L51" s="688"/>
    </row>
    <row r="52" spans="2:12" ht="15">
      <c r="B52" s="132"/>
      <c r="C52" s="132"/>
      <c r="D52" s="132"/>
      <c r="E52" s="132"/>
      <c r="F52" s="132"/>
      <c r="G52" s="132"/>
      <c r="H52" s="132"/>
      <c r="I52" s="132"/>
      <c r="J52" s="694"/>
      <c r="K52" s="132"/>
      <c r="L52" s="132"/>
    </row>
    <row r="53" spans="2:12" ht="15.75">
      <c r="B53" s="666" t="s">
        <v>591</v>
      </c>
      <c r="C53" s="132"/>
      <c r="D53" s="132"/>
      <c r="E53" s="132"/>
      <c r="F53" s="132"/>
      <c r="G53" s="132"/>
      <c r="H53" s="132"/>
      <c r="I53" s="132"/>
      <c r="J53" s="695">
        <f>(SUM(J39:J50)*-1)</f>
        <v>0</v>
      </c>
      <c r="K53" s="132"/>
      <c r="L53" s="132"/>
    </row>
    <row r="54" spans="2:12" ht="15.75">
      <c r="B54" s="666" t="s">
        <v>592</v>
      </c>
      <c r="C54" s="132"/>
      <c r="D54" s="132"/>
      <c r="E54" s="132"/>
      <c r="F54" s="132"/>
      <c r="G54" s="132"/>
      <c r="H54" s="132"/>
      <c r="I54" s="132"/>
      <c r="J54" s="696">
        <f>+I10</f>
        <v>0</v>
      </c>
      <c r="K54" s="132"/>
      <c r="L54" s="132"/>
    </row>
    <row r="55" spans="2:12" ht="15.75">
      <c r="B55" s="666" t="s">
        <v>593</v>
      </c>
      <c r="C55" s="132"/>
      <c r="D55" s="132"/>
      <c r="E55" s="132"/>
      <c r="F55" s="132"/>
      <c r="G55" s="132"/>
      <c r="H55" s="132"/>
      <c r="I55" s="132"/>
      <c r="J55" s="695">
        <f>(J53+J54)</f>
        <v>0</v>
      </c>
      <c r="K55" s="132"/>
      <c r="L55" s="132"/>
    </row>
    <row r="57" spans="2:12" ht="72.599999999999994" customHeight="1">
      <c r="B57" s="1228" t="s">
        <v>594</v>
      </c>
      <c r="C57" s="1228"/>
      <c r="D57" s="1228"/>
      <c r="E57" s="1228"/>
      <c r="F57" s="1228"/>
      <c r="G57" s="1228"/>
      <c r="H57" s="964"/>
      <c r="I57" s="964"/>
      <c r="J57" s="964"/>
      <c r="K57" s="964"/>
      <c r="L57" s="964"/>
    </row>
  </sheetData>
  <mergeCells count="5">
    <mergeCell ref="B3:L3"/>
    <mergeCell ref="B1:L1"/>
    <mergeCell ref="B2:L2"/>
    <mergeCell ref="E4:H4"/>
    <mergeCell ref="B57:G57"/>
  </mergeCells>
  <pageMargins left="0.7" right="0.7" top="0.75" bottom="0.75" header="0.3" footer="0.3"/>
  <pageSetup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L222"/>
  <sheetViews>
    <sheetView tabSelected="1" topLeftCell="A19" zoomScale="75" zoomScaleNormal="75" workbookViewId="0">
      <selection activeCell="B7" sqref="B7"/>
    </sheetView>
  </sheetViews>
  <sheetFormatPr defaultRowHeight="12.75"/>
  <cols>
    <col min="1" max="1" width="9.140625" style="7"/>
    <col min="2" max="2" width="0.85546875" style="14" customWidth="1"/>
    <col min="3" max="3" width="41.5703125" style="7" customWidth="1"/>
    <col min="4" max="4" width="38.85546875" style="7" bestFit="1" customWidth="1"/>
    <col min="5" max="5" width="23.28515625" style="7" customWidth="1"/>
    <col min="6" max="6" width="1.7109375" style="7" customWidth="1"/>
    <col min="7" max="7" width="23.5703125" style="7" customWidth="1"/>
    <col min="8" max="8" width="2.85546875" style="7" customWidth="1"/>
    <col min="9" max="9" width="20" style="7" customWidth="1"/>
    <col min="10" max="10" width="5.5703125" style="7" customWidth="1"/>
    <col min="11" max="12" width="9.140625" style="7"/>
    <col min="13" max="13" width="10" style="7" bestFit="1" customWidth="1"/>
    <col min="14" max="14" width="17.7109375" style="7" customWidth="1"/>
    <col min="15" max="15" width="15.5703125" style="7" bestFit="1" customWidth="1"/>
    <col min="16" max="16384" width="9.140625" style="7"/>
  </cols>
  <sheetData>
    <row r="1" spans="1:12" ht="15.75">
      <c r="A1" s="744" t="s">
        <v>416</v>
      </c>
    </row>
    <row r="2" spans="1:12" ht="15.75">
      <c r="A2" s="744" t="s">
        <v>416</v>
      </c>
    </row>
    <row r="3" spans="1:12" ht="15">
      <c r="A3" s="1146" t="str">
        <f>TCOS!$F$5</f>
        <v>AEPTCo subsidiaries in PJM</v>
      </c>
      <c r="B3" s="1146" t="str">
        <f>TCOS!$F$5</f>
        <v>AEPTCo subsidiaries in PJM</v>
      </c>
      <c r="C3" s="1146" t="str">
        <f>TCOS!$F$5</f>
        <v>AEPTCo subsidiaries in PJM</v>
      </c>
      <c r="D3" s="1146" t="str">
        <f>TCOS!$F$5</f>
        <v>AEPTCo subsidiaries in PJM</v>
      </c>
      <c r="E3" s="1146" t="str">
        <f>TCOS!$F$5</f>
        <v>AEPTCo subsidiaries in PJM</v>
      </c>
      <c r="F3" s="1146" t="str">
        <f>TCOS!$F$5</f>
        <v>AEPTCo subsidiaries in PJM</v>
      </c>
      <c r="G3" s="1146" t="str">
        <f>TCOS!$F$5</f>
        <v>AEPTCo subsidiaries in PJM</v>
      </c>
      <c r="H3" s="1146" t="str">
        <f>TCOS!$F$5</f>
        <v>AEPTCo subsidiaries in PJM</v>
      </c>
      <c r="I3" s="1146" t="str">
        <f>TCOS!$F$5</f>
        <v>AEPTCo subsidiaries in PJM</v>
      </c>
      <c r="J3" s="17"/>
    </row>
    <row r="4" spans="1:12" ht="15">
      <c r="A4" s="1147" t="str">
        <f>"Cost of Service Formula Rate Using Actual/Projected FF1 Balances"</f>
        <v>Cost of Service Formula Rate Using Actual/Projected FF1 Balances</v>
      </c>
      <c r="B4" s="1147"/>
      <c r="C4" s="1147"/>
      <c r="D4" s="1147"/>
      <c r="E4" s="1147"/>
      <c r="F4" s="1147"/>
      <c r="G4" s="1147"/>
      <c r="H4" s="1147"/>
      <c r="I4" s="1147"/>
      <c r="J4" s="45"/>
    </row>
    <row r="5" spans="1:12" ht="15">
      <c r="A5" s="1147" t="s">
        <v>270</v>
      </c>
      <c r="B5" s="1147"/>
      <c r="C5" s="1147"/>
      <c r="D5" s="1147"/>
      <c r="E5" s="1147"/>
      <c r="F5" s="1147"/>
      <c r="G5" s="1147"/>
      <c r="H5" s="1147"/>
      <c r="I5" s="1147"/>
      <c r="J5" s="44"/>
    </row>
    <row r="6" spans="1:12" ht="15">
      <c r="A6" s="1154" t="str">
        <f>TCOS!F9</f>
        <v>AEP Kentucky Transmission Company</v>
      </c>
      <c r="B6" s="1154"/>
      <c r="C6" s="1154"/>
      <c r="D6" s="1154"/>
      <c r="E6" s="1154"/>
      <c r="F6" s="1154"/>
      <c r="G6" s="1154"/>
      <c r="H6" s="1154"/>
      <c r="I6" s="1154"/>
      <c r="J6" s="2"/>
    </row>
    <row r="7" spans="1:12">
      <c r="C7" s="13"/>
      <c r="D7" s="13"/>
    </row>
    <row r="8" spans="1:12" ht="15">
      <c r="A8" s="716"/>
      <c r="B8" s="725"/>
      <c r="C8" s="729" t="s">
        <v>462</v>
      </c>
      <c r="D8" s="729" t="s">
        <v>463</v>
      </c>
      <c r="E8" s="729" t="s">
        <v>464</v>
      </c>
      <c r="F8" s="716"/>
      <c r="G8" s="729" t="s">
        <v>465</v>
      </c>
      <c r="H8" s="716"/>
      <c r="I8" s="729" t="s">
        <v>385</v>
      </c>
      <c r="J8" s="4"/>
      <c r="K8"/>
      <c r="L8"/>
    </row>
    <row r="9" spans="1:12" ht="15">
      <c r="A9" s="715"/>
      <c r="B9" s="725"/>
      <c r="C9" s="716"/>
      <c r="D9" s="716"/>
      <c r="E9" s="716"/>
      <c r="F9" s="716"/>
      <c r="G9" s="716"/>
      <c r="H9" s="716"/>
      <c r="I9" s="730"/>
      <c r="J9"/>
      <c r="K9"/>
      <c r="L9"/>
    </row>
    <row r="10" spans="1:12" ht="12.75" customHeight="1">
      <c r="A10" s="728" t="s">
        <v>469</v>
      </c>
      <c r="B10" s="725"/>
      <c r="C10" s="731"/>
      <c r="D10" s="731"/>
      <c r="E10" s="1152" t="str">
        <f>"Balance @    December 31, "&amp;TCOS!L4&amp;""</f>
        <v>Balance @    December 31, 2025</v>
      </c>
      <c r="F10" s="732"/>
      <c r="G10" s="1152" t="str">
        <f>"Balance @     December 31, "&amp;TCOS!L4-1&amp;""</f>
        <v>Balance @     December 31, 2024</v>
      </c>
      <c r="H10" s="732"/>
      <c r="I10" s="1155" t="str">
        <f>"Average Balance for "&amp;TCOS!L4&amp;""</f>
        <v>Average Balance for 2025</v>
      </c>
      <c r="J10"/>
      <c r="K10"/>
      <c r="L10"/>
    </row>
    <row r="11" spans="1:12" ht="15">
      <c r="A11" s="735" t="s">
        <v>407</v>
      </c>
      <c r="B11" s="733"/>
      <c r="C11" s="728" t="s">
        <v>467</v>
      </c>
      <c r="D11" s="728" t="s">
        <v>498</v>
      </c>
      <c r="E11" s="1153"/>
      <c r="F11" s="734"/>
      <c r="G11" s="1153"/>
      <c r="H11" s="734"/>
      <c r="I11" s="1153"/>
      <c r="J11"/>
      <c r="K11"/>
      <c r="L11"/>
    </row>
    <row r="12" spans="1:12">
      <c r="A12" s="43"/>
      <c r="C12" s="13"/>
      <c r="D12" s="13"/>
      <c r="G12" s="96"/>
    </row>
    <row r="13" spans="1:12">
      <c r="A13" s="43"/>
      <c r="C13" s="13"/>
      <c r="D13" s="13"/>
    </row>
    <row r="14" spans="1:12">
      <c r="A14" s="43"/>
      <c r="C14" s="13"/>
      <c r="D14" s="13"/>
    </row>
    <row r="15" spans="1:12" ht="15.75">
      <c r="A15" s="43">
        <v>1</v>
      </c>
      <c r="C15" s="28" t="s">
        <v>303</v>
      </c>
      <c r="D15" s="28"/>
    </row>
    <row r="16" spans="1:12" ht="15.75">
      <c r="A16" s="43"/>
      <c r="C16" s="28"/>
      <c r="D16" s="728"/>
      <c r="H16"/>
    </row>
    <row r="17" spans="1:9" ht="14.25">
      <c r="A17" s="43">
        <f>+A15+1</f>
        <v>2</v>
      </c>
      <c r="C17" s="722" t="s">
        <v>309</v>
      </c>
      <c r="D17" s="726" t="s">
        <v>311</v>
      </c>
      <c r="E17" s="714">
        <f>SUM('WS B-1 - Actual Stmt. AF'!Q23:S23)</f>
        <v>0</v>
      </c>
      <c r="F17" s="716"/>
      <c r="G17" s="714">
        <f>SUM('WS B-1 - Actual Stmt. AF'!M23:O23)</f>
        <v>0</v>
      </c>
      <c r="H17" s="719"/>
      <c r="I17" s="720">
        <f>IF(G17="",0,(E17+G17)/2)</f>
        <v>0</v>
      </c>
    </row>
    <row r="18" spans="1:9" ht="14.25">
      <c r="A18" s="43">
        <f>+A17+1</f>
        <v>3</v>
      </c>
      <c r="C18" s="722" t="s">
        <v>313</v>
      </c>
      <c r="D18" s="715" t="str">
        <f>"WS B-1 - Actual Stmt. AF Ln. " &amp;'WS B-1 - Actual Stmt. AF'!A24&amp;" (Note 1)"</f>
        <v>WS B-1 - Actual Stmt. AF Ln. 4 (Note 1)</v>
      </c>
      <c r="E18" s="714">
        <f>SUM('WS B-1 - Actual Stmt. AF'!Q24:S24)</f>
        <v>0</v>
      </c>
      <c r="F18" s="716"/>
      <c r="G18" s="714">
        <f>SUM('WS B-1 - Actual Stmt. AF'!M24:O24)</f>
        <v>0</v>
      </c>
      <c r="H18" s="719"/>
      <c r="I18" s="720">
        <f>IF(G18="",0,(E18+G18)/2)</f>
        <v>0</v>
      </c>
    </row>
    <row r="19" spans="1:9" ht="16.5">
      <c r="A19" s="43">
        <f>+A18+1</f>
        <v>4</v>
      </c>
      <c r="C19" s="722" t="s">
        <v>314</v>
      </c>
      <c r="D19" s="715" t="str">
        <f>"WS B-1 - Actual Stmt. AF Ln. " &amp;'WS B-1 - Actual Stmt. AF'!A23&amp;" (Note 1)"</f>
        <v>WS B-1 - Actual Stmt. AF Ln. 3 (Note 1)</v>
      </c>
      <c r="E19" s="718">
        <f>('WS B-1 - Actual Stmt. AF'!Q23+'WS B-1 - Actual Stmt. AF'!S23)-('WS B-1 - Actual Stmt. AF'!Q24+'WS B-1 - Actual Stmt. AF'!S24)</f>
        <v>0</v>
      </c>
      <c r="F19" s="716"/>
      <c r="G19" s="718">
        <f>('WS B-1 - Actual Stmt. AF'!M23+'WS B-1 - Actual Stmt. AF'!O23)-('WS B-1 - Actual Stmt. AF'!M24+'WS B-1 - Actual Stmt. AF'!O24)</f>
        <v>0</v>
      </c>
      <c r="H19" s="716"/>
      <c r="I19" s="721">
        <f>IF(G19="",0,(E19+G19)/2)</f>
        <v>0</v>
      </c>
    </row>
    <row r="20" spans="1:9" ht="14.25">
      <c r="A20" s="43">
        <f>+A19+1</f>
        <v>5</v>
      </c>
      <c r="C20" s="722" t="s">
        <v>310</v>
      </c>
      <c r="D20" s="727" t="str">
        <f>"Ln "&amp;A17&amp;" - ln "&amp;A18&amp;" - ln "&amp;A19&amp;""</f>
        <v>Ln 2 - ln 3 - ln 4</v>
      </c>
      <c r="E20" s="717">
        <f>+E17-E18-E19</f>
        <v>0</v>
      </c>
      <c r="F20" s="716"/>
      <c r="G20" s="717">
        <f>+G17-G18-G19</f>
        <v>0</v>
      </c>
      <c r="H20" s="716"/>
      <c r="I20" s="720">
        <f>+I17-I18-I19</f>
        <v>0</v>
      </c>
    </row>
    <row r="21" spans="1:9" ht="14.25">
      <c r="A21" s="43"/>
      <c r="C21" s="36"/>
      <c r="D21" s="722"/>
      <c r="E21" s="716"/>
      <c r="F21" s="716"/>
      <c r="G21" s="716"/>
      <c r="H21" s="716"/>
      <c r="I21" s="716"/>
    </row>
    <row r="22" spans="1:9" ht="14.25">
      <c r="A22" s="43"/>
      <c r="C22" s="36"/>
      <c r="D22" s="722"/>
      <c r="E22" s="716"/>
      <c r="F22" s="716"/>
      <c r="G22" s="716"/>
      <c r="H22" s="716"/>
      <c r="I22" s="716"/>
    </row>
    <row r="23" spans="1:9" ht="15.75">
      <c r="A23" s="43">
        <f>+A20+1</f>
        <v>6</v>
      </c>
      <c r="C23" s="28" t="s">
        <v>304</v>
      </c>
      <c r="D23" s="722"/>
      <c r="E23" s="716"/>
      <c r="F23" s="716"/>
      <c r="G23" s="716"/>
      <c r="H23" s="716"/>
      <c r="I23" s="716"/>
    </row>
    <row r="24" spans="1:9" ht="14.25">
      <c r="A24" s="43"/>
      <c r="C24" s="36"/>
      <c r="D24" s="722"/>
      <c r="E24" s="716"/>
      <c r="F24" s="716"/>
      <c r="G24" s="716"/>
      <c r="H24" s="716"/>
      <c r="I24" s="716"/>
    </row>
    <row r="25" spans="1:9" ht="14.25">
      <c r="A25" s="43">
        <f>+A23+1</f>
        <v>7</v>
      </c>
      <c r="C25" s="722" t="s">
        <v>309</v>
      </c>
      <c r="D25" s="726" t="s">
        <v>237</v>
      </c>
      <c r="E25" s="714">
        <f>SUM('WS B-1 - Actual Stmt. AF'!Q45:S45)-'WS B-1 - Actual Stmt. AF'!D37</f>
        <v>20919255.440000001</v>
      </c>
      <c r="F25" s="716"/>
      <c r="G25" s="714">
        <f>SUM('WS B-1 - Actual Stmt. AF'!M45:O45)-'WS B-1 - Actual Stmt. AF'!C37</f>
        <v>21897364.84</v>
      </c>
      <c r="H25" s="719"/>
      <c r="I25" s="720">
        <f>IF(G25="",0,(E25+G25)/2)</f>
        <v>21408310.140000001</v>
      </c>
    </row>
    <row r="26" spans="1:9" ht="14.25">
      <c r="A26" s="43">
        <f>+A25+1</f>
        <v>8</v>
      </c>
      <c r="C26" s="722" t="s">
        <v>313</v>
      </c>
      <c r="D26" s="715" t="str">
        <f>"WS B-1 - Actual Stmt. AF Ln. " &amp;'WS B-1 - Actual Stmt. AF'!A46&amp;" (Note 1)"</f>
        <v>WS B-1 - Actual Stmt. AF Ln. 7 (Note 1)</v>
      </c>
      <c r="E26" s="714">
        <f>SUM('WS B-1 - Actual Stmt. AF'!Q46:S46)</f>
        <v>0</v>
      </c>
      <c r="F26" s="716"/>
      <c r="G26" s="714">
        <f>SUM('WS B-1 - Actual Stmt. AF'!M46:O46)</f>
        <v>0</v>
      </c>
      <c r="H26" s="719"/>
      <c r="I26" s="720">
        <f>IF(G26="",0,(E26+G26)/2)</f>
        <v>0</v>
      </c>
    </row>
    <row r="27" spans="1:9" ht="16.5">
      <c r="A27" s="43">
        <f>+A26+1</f>
        <v>9</v>
      </c>
      <c r="C27" s="722" t="s">
        <v>314</v>
      </c>
      <c r="D27" s="715" t="str">
        <f>"WS B-1 - Actual Stmt. AF Ln. " &amp;'WS B-1 - Actual Stmt. AF'!A45&amp;" (Note 1)"</f>
        <v>WS B-1 - Actual Stmt. AF Ln. 6 (Note 1)</v>
      </c>
      <c r="E27" s="718">
        <f>('WS B-1 - Actual Stmt. AF'!Q45+'WS B-1 - Actual Stmt. AF'!S45)-('WS B-1 - Actual Stmt. AF'!Q46+'WS B-1 - Actual Stmt. AF'!S46)-'WS B-1 - Actual Stmt. AF'!D37</f>
        <v>0</v>
      </c>
      <c r="F27" s="716"/>
      <c r="G27" s="718">
        <f>('WS B-1 - Actual Stmt. AF'!M45+'WS B-1 - Actual Stmt. AF'!O45)-('WS B-1 - Actual Stmt. AF'!M46+'WS B-1 - Actual Stmt. AF'!O46)-'WS B-1 - Actual Stmt. AF'!C37</f>
        <v>4382902.6492623808</v>
      </c>
      <c r="H27" s="716"/>
      <c r="I27" s="721">
        <f>IF(G27="",0,(E27+G27)/2)</f>
        <v>2191451.3246311904</v>
      </c>
    </row>
    <row r="28" spans="1:9" ht="14.25">
      <c r="A28" s="43">
        <f>+A27+1</f>
        <v>10</v>
      </c>
      <c r="C28" s="722" t="s">
        <v>310</v>
      </c>
      <c r="D28" s="727" t="str">
        <f>"Ln "&amp;A25&amp;" - ln "&amp;A26&amp;" - ln "&amp;A27&amp;""</f>
        <v>Ln 7 - ln 8 - ln 9</v>
      </c>
      <c r="E28" s="717">
        <f>+E25-E26-E27</f>
        <v>20919255.440000001</v>
      </c>
      <c r="F28" s="716"/>
      <c r="G28" s="717">
        <f>+G25-G26-G27</f>
        <v>17514462.19073762</v>
      </c>
      <c r="H28" s="716"/>
      <c r="I28" s="720">
        <f>+I25-I26-I27</f>
        <v>19216858.815368809</v>
      </c>
    </row>
    <row r="29" spans="1:9" ht="14.25">
      <c r="A29" s="43"/>
      <c r="C29" s="36"/>
      <c r="D29" s="722"/>
      <c r="E29" s="716"/>
      <c r="F29" s="716"/>
      <c r="G29" s="716"/>
      <c r="H29" s="716"/>
      <c r="I29" s="716"/>
    </row>
    <row r="30" spans="1:9" ht="14.25">
      <c r="A30" s="43"/>
      <c r="C30" s="36"/>
      <c r="D30" s="722"/>
      <c r="E30" s="717"/>
      <c r="F30" s="716"/>
      <c r="G30" s="717"/>
      <c r="H30" s="716"/>
      <c r="I30" s="716"/>
    </row>
    <row r="31" spans="1:9" ht="15.75">
      <c r="A31" s="43">
        <f>+A28+1</f>
        <v>11</v>
      </c>
      <c r="C31" s="28" t="s">
        <v>305</v>
      </c>
      <c r="D31" s="722"/>
      <c r="E31" s="716"/>
      <c r="F31" s="716"/>
      <c r="G31" s="716"/>
      <c r="H31" s="716"/>
      <c r="I31" s="716"/>
    </row>
    <row r="32" spans="1:9" ht="15.75">
      <c r="A32" s="43"/>
      <c r="C32" s="28"/>
      <c r="D32" s="722"/>
      <c r="E32" s="716"/>
      <c r="F32" s="716"/>
      <c r="G32" s="716"/>
      <c r="H32" s="716"/>
      <c r="I32" s="716"/>
    </row>
    <row r="33" spans="1:9" ht="14.25">
      <c r="A33" s="43">
        <f>+A31+1</f>
        <v>12</v>
      </c>
      <c r="C33" s="722" t="s">
        <v>309</v>
      </c>
      <c r="D33" s="726" t="s">
        <v>312</v>
      </c>
      <c r="E33" s="714">
        <f>SUM('WS B-1 - Actual Stmt. AF'!Q67:S67)-'WS B-1 - Actual Stmt. AF'!D52</f>
        <v>2999090.3300000005</v>
      </c>
      <c r="F33" s="716"/>
      <c r="G33" s="714">
        <f>SUM('WS B-1 - Actual Stmt. AF'!M67:O67)-'WS B-1 - Actual Stmt. AF'!C52</f>
        <v>2822932.92</v>
      </c>
      <c r="H33" s="719"/>
      <c r="I33" s="720">
        <f>IF(G33="",0,(E33+G33)/2)</f>
        <v>2911011.625</v>
      </c>
    </row>
    <row r="34" spans="1:9" ht="14.25">
      <c r="A34" s="43">
        <f>+A33+1</f>
        <v>13</v>
      </c>
      <c r="C34" s="722" t="s">
        <v>313</v>
      </c>
      <c r="D34" s="715" t="str">
        <f>"WS B-1 - Actual Stmt. AF Ln. " &amp;'WS B-1 - Actual Stmt. AF'!A68&amp;" (Note 1)"</f>
        <v>WS B-1 - Actual Stmt. AF Ln. 13 (Note 1)</v>
      </c>
      <c r="E34" s="714">
        <f>SUM('WS B-1 - Actual Stmt. AF'!Q68:S68)</f>
        <v>0</v>
      </c>
      <c r="F34" s="716"/>
      <c r="G34" s="714">
        <f>SUM('WS B-1 - Actual Stmt. AF'!M68:O68)</f>
        <v>0</v>
      </c>
      <c r="H34" s="719"/>
      <c r="I34" s="720">
        <f>IF(G34="",0,(E34+G34)/2)</f>
        <v>0</v>
      </c>
    </row>
    <row r="35" spans="1:9" ht="16.5">
      <c r="A35" s="43">
        <f>+A34+1</f>
        <v>14</v>
      </c>
      <c r="C35" s="722" t="s">
        <v>314</v>
      </c>
      <c r="D35" s="715" t="str">
        <f>"WS B-1 - Actual Stmt. AF Ln. " &amp;'WS B-1 - Actual Stmt. AF'!A67&amp;" (Note 1)"</f>
        <v>WS B-1 - Actual Stmt. AF Ln. 12 (Note 1)</v>
      </c>
      <c r="E35" s="718">
        <f>('WS B-1 - Actual Stmt. AF'!Q67+'WS B-1 - Actual Stmt. AF'!S67)-('WS B-1 - Actual Stmt. AF'!Q68+'WS B-1 - Actual Stmt. AF'!S68)-'WS B-1 - Actual Stmt. AF'!D52</f>
        <v>0</v>
      </c>
      <c r="F35" s="716"/>
      <c r="G35" s="718">
        <f>('WS B-1 - Actual Stmt. AF'!M67+'WS B-1 - Actual Stmt. AF'!O67)-('WS B-1 - Actual Stmt. AF'!M68+'WS B-1 - Actual Stmt. AF'!O68)-'WS B-1 - Actual Stmt. AF'!C52</f>
        <v>0</v>
      </c>
      <c r="H35" s="716"/>
      <c r="I35" s="721">
        <f>IF(G35="",0,(E35+G35)/2)</f>
        <v>0</v>
      </c>
    </row>
    <row r="36" spans="1:9" ht="14.25">
      <c r="A36" s="43">
        <f>+A35+1</f>
        <v>15</v>
      </c>
      <c r="C36" s="722" t="s">
        <v>310</v>
      </c>
      <c r="D36" s="727" t="str">
        <f>"Ln "&amp;A33&amp;" - ln "&amp;A34&amp;" - ln "&amp;A35&amp;""</f>
        <v>Ln 12 - ln 13 - ln 14</v>
      </c>
      <c r="E36" s="717">
        <f>+E33-E34-E35</f>
        <v>2999090.3300000005</v>
      </c>
      <c r="F36" s="716"/>
      <c r="G36" s="717">
        <f>+G33-G34-G35</f>
        <v>2822932.92</v>
      </c>
      <c r="H36" s="716"/>
      <c r="I36" s="720">
        <f>+I33-I34-I35</f>
        <v>2911011.625</v>
      </c>
    </row>
    <row r="37" spans="1:9" ht="15.75">
      <c r="A37" s="43"/>
      <c r="C37" s="28"/>
      <c r="D37" s="722"/>
      <c r="E37" s="716"/>
      <c r="F37" s="716"/>
      <c r="G37" s="716"/>
      <c r="H37" s="716"/>
      <c r="I37" s="716"/>
    </row>
    <row r="38" spans="1:9" ht="14.25">
      <c r="A38" s="43"/>
      <c r="C38" s="36"/>
      <c r="D38" s="722"/>
      <c r="E38" s="716"/>
      <c r="F38" s="716"/>
      <c r="G38" s="716"/>
      <c r="H38" s="716"/>
      <c r="I38" s="716"/>
    </row>
    <row r="39" spans="1:9" ht="15.75">
      <c r="A39" s="43">
        <f>+A36+1</f>
        <v>16</v>
      </c>
      <c r="C39" s="28" t="s">
        <v>306</v>
      </c>
      <c r="D39" s="722"/>
      <c r="E39" s="716"/>
      <c r="F39" s="716"/>
      <c r="G39" s="716"/>
      <c r="H39" s="716"/>
      <c r="I39" s="716"/>
    </row>
    <row r="40" spans="1:9" ht="14.25">
      <c r="A40" s="43"/>
      <c r="C40" s="36"/>
      <c r="D40" s="722"/>
      <c r="E40" s="716"/>
      <c r="F40" s="716"/>
      <c r="G40" s="716"/>
      <c r="H40" s="716"/>
      <c r="I40" s="716"/>
    </row>
    <row r="41" spans="1:9" ht="14.25">
      <c r="A41" s="43">
        <f>+A39+1</f>
        <v>17</v>
      </c>
      <c r="C41" s="722" t="s">
        <v>309</v>
      </c>
      <c r="D41" s="726" t="s">
        <v>308</v>
      </c>
      <c r="E41" s="714">
        <f>SUM('WS B-2 - Actual Stmt. AG'!Q46:S46)-'WS B-2 - Actual Stmt. AG'!D35</f>
        <v>5295139.7399999984</v>
      </c>
      <c r="F41" s="716"/>
      <c r="G41" s="714">
        <f>SUM('WS B-2 - Actual Stmt. AG'!M46:O46)-'WS B-2 - Actual Stmt. AG'!C35</f>
        <v>641421.90999999968</v>
      </c>
      <c r="H41" s="719"/>
      <c r="I41" s="720">
        <f>IF(G41="",0,(E41+G41)/2)</f>
        <v>2968280.8249999993</v>
      </c>
    </row>
    <row r="42" spans="1:9" ht="14.25">
      <c r="A42" s="43">
        <f>+A41+1</f>
        <v>18</v>
      </c>
      <c r="C42" s="722" t="s">
        <v>313</v>
      </c>
      <c r="D42" s="715" t="str">
        <f>"WS B-2 - Actual Stmt. AG Ln. " &amp;'WS B-2 - Actual Stmt. AG'!A47&amp;" (Note 1)"</f>
        <v>WS B-2 - Actual Stmt. AG Ln. 4 (Note 1)</v>
      </c>
      <c r="E42" s="714">
        <f>SUM('WS B-2 - Actual Stmt. AG'!Q47:S47)</f>
        <v>0</v>
      </c>
      <c r="F42" s="716"/>
      <c r="G42" s="714">
        <f>SUM('WS B-2 - Actual Stmt. AG'!M47:O47)</f>
        <v>0</v>
      </c>
      <c r="H42" s="719"/>
      <c r="I42" s="720">
        <f>IF(G42="",0,(E42+G42)/2)</f>
        <v>0</v>
      </c>
    </row>
    <row r="43" spans="1:9" ht="16.5">
      <c r="A43" s="43">
        <f>+A42+1</f>
        <v>19</v>
      </c>
      <c r="C43" s="722" t="s">
        <v>314</v>
      </c>
      <c r="D43" s="715" t="str">
        <f>"WS B-2 - Actual Stmt. AG Ln. " &amp;'WS B-2 - Actual Stmt. AG'!A46&amp;" (Note 1)"</f>
        <v>WS B-2 - Actual Stmt. AG Ln. 3 (Note 1)</v>
      </c>
      <c r="E43" s="718">
        <f>('WS B-2 - Actual Stmt. AG'!Q46+'WS B-2 - Actual Stmt. AG'!S46)-('WS B-2 - Actual Stmt. AG'!Q47+'WS B-2 - Actual Stmt. AG'!S47)-'WS B-2 - Actual Stmt. AG'!D35</f>
        <v>0</v>
      </c>
      <c r="F43" s="716"/>
      <c r="G43" s="718">
        <f>('WS B-2 - Actual Stmt. AG'!M46+'WS B-2 - Actual Stmt. AG'!O46)-('WS B-2 - Actual Stmt. AG'!M47+'WS B-2 - Actual Stmt. AG'!O47)-'WS B-2 - Actual Stmt. AG'!C35</f>
        <v>-1708579.7618399998</v>
      </c>
      <c r="H43" s="716"/>
      <c r="I43" s="721">
        <f>IF(G43="",0,(E43+G43)/2)</f>
        <v>-854289.88091999991</v>
      </c>
    </row>
    <row r="44" spans="1:9" ht="14.25">
      <c r="A44" s="43">
        <f>+A43+1</f>
        <v>20</v>
      </c>
      <c r="C44" s="722" t="s">
        <v>310</v>
      </c>
      <c r="D44" s="727" t="str">
        <f>"Ln "&amp;A41&amp;" - ln "&amp;A42&amp;" - ln "&amp;A43&amp;""</f>
        <v>Ln 17 - ln 18 - ln 19</v>
      </c>
      <c r="E44" s="717">
        <f>+E41-E42-E43</f>
        <v>5295139.7399999984</v>
      </c>
      <c r="F44" s="716"/>
      <c r="G44" s="717">
        <f>+G41-G42-G43</f>
        <v>2350001.6718399995</v>
      </c>
      <c r="H44" s="716"/>
      <c r="I44" s="720">
        <f>+I41-I42-I43</f>
        <v>3822570.7059199992</v>
      </c>
    </row>
    <row r="45" spans="1:9" ht="14.25">
      <c r="A45" s="43"/>
      <c r="C45" s="36"/>
      <c r="D45" s="36"/>
      <c r="E45" s="716"/>
      <c r="F45" s="716"/>
      <c r="G45" s="716"/>
      <c r="H45" s="716"/>
      <c r="I45" s="716"/>
    </row>
    <row r="46" spans="1:9" ht="14.25">
      <c r="A46" s="43"/>
      <c r="C46" s="36"/>
      <c r="D46" s="36"/>
      <c r="E46" s="716"/>
      <c r="F46" s="716"/>
      <c r="G46" s="716"/>
      <c r="H46" s="716"/>
      <c r="I46" s="716"/>
    </row>
    <row r="47" spans="1:9" ht="15.75">
      <c r="A47" s="43">
        <f>+A44+1</f>
        <v>21</v>
      </c>
      <c r="C47" s="28" t="s">
        <v>307</v>
      </c>
      <c r="D47" s="36"/>
      <c r="E47" s="716"/>
      <c r="F47" s="716"/>
      <c r="G47" s="716"/>
      <c r="H47" s="716"/>
      <c r="I47" s="716"/>
    </row>
    <row r="48" spans="1:9" ht="14.25">
      <c r="A48" s="43"/>
      <c r="C48" s="36"/>
      <c r="D48" s="36"/>
      <c r="E48" s="716"/>
      <c r="F48" s="716"/>
      <c r="G48" s="716"/>
      <c r="H48" s="716"/>
      <c r="I48" s="716"/>
    </row>
    <row r="49" spans="1:10" ht="14.25">
      <c r="A49" s="43">
        <f>+A47+1</f>
        <v>22</v>
      </c>
      <c r="C49" s="722" t="s">
        <v>315</v>
      </c>
      <c r="D49" s="726" t="s">
        <v>269</v>
      </c>
      <c r="E49" s="714">
        <f>SUM('WS B-1 - Actual Stmt. AF'!Q81:S81)</f>
        <v>0</v>
      </c>
      <c r="F49" s="716"/>
      <c r="G49" s="714">
        <f>SUM('WS B-1 - Actual Stmt. AF'!M81:O81)</f>
        <v>0</v>
      </c>
      <c r="H49" s="719"/>
      <c r="I49" s="720">
        <f>IF(G49="",0,(E49+G49)/2)</f>
        <v>0</v>
      </c>
    </row>
    <row r="50" spans="1:10" ht="16.5">
      <c r="A50" s="43">
        <f>+A49+1</f>
        <v>23</v>
      </c>
      <c r="C50" s="722" t="s">
        <v>316</v>
      </c>
      <c r="D50" s="715" t="s">
        <v>334</v>
      </c>
      <c r="E50" s="718">
        <v>0</v>
      </c>
      <c r="F50" s="716"/>
      <c r="G50" s="718">
        <v>0</v>
      </c>
      <c r="H50" s="719"/>
      <c r="I50" s="721">
        <f>IF(G50="",0,(E50+G50)/2)</f>
        <v>0</v>
      </c>
    </row>
    <row r="51" spans="1:10" ht="14.25">
      <c r="A51" s="43">
        <f>+A50+1</f>
        <v>24</v>
      </c>
      <c r="C51" s="722" t="s">
        <v>260</v>
      </c>
      <c r="D51" s="727" t="str">
        <f>"Ln "&amp;A49&amp;" - ln "&amp;A50&amp;""</f>
        <v>Ln 22 - ln 23</v>
      </c>
      <c r="E51" s="717">
        <f>+E49-E50</f>
        <v>0</v>
      </c>
      <c r="F51" s="716"/>
      <c r="G51" s="717">
        <f>+G49-G50</f>
        <v>0</v>
      </c>
      <c r="H51" s="719"/>
      <c r="I51" s="720">
        <f>+I49-I50</f>
        <v>0</v>
      </c>
    </row>
    <row r="52" spans="1:10" ht="14.25">
      <c r="A52" s="43">
        <f>+A51+1</f>
        <v>25</v>
      </c>
      <c r="C52" s="722" t="s">
        <v>310</v>
      </c>
      <c r="D52" s="727" t="str">
        <f>"WS B-1 - Actual Stmt. AF Ln. " &amp;'WS B-1 - Actual Stmt. AF'!A81&amp;" (Note 1)"</f>
        <v>WS B-1 - Actual Stmt. AF Ln. 20 (Note 1)</v>
      </c>
      <c r="E52" s="714">
        <f>'WS B-1 - Actual Stmt. AF'!R81</f>
        <v>0</v>
      </c>
      <c r="F52" s="716"/>
      <c r="G52" s="714">
        <f>'WS B-1 - Actual Stmt. AF'!N81</f>
        <v>0</v>
      </c>
      <c r="H52" s="719"/>
      <c r="I52" s="720">
        <f>IF(G52="",0,(E52+G52)/2)</f>
        <v>0</v>
      </c>
    </row>
    <row r="53" spans="1:10">
      <c r="A53" s="43"/>
      <c r="C53" s="36"/>
      <c r="D53" s="36"/>
    </row>
    <row r="54" spans="1:10" ht="14.25">
      <c r="A54" s="723" t="s">
        <v>333</v>
      </c>
      <c r="B54" s="724" t="s">
        <v>416</v>
      </c>
      <c r="C54" s="724" t="s">
        <v>766</v>
      </c>
      <c r="D54" s="36"/>
    </row>
    <row r="55" spans="1:10" ht="14.25">
      <c r="A55" s="715"/>
      <c r="B55" s="725"/>
      <c r="C55" s="722" t="s">
        <v>767</v>
      </c>
      <c r="D55" s="36"/>
    </row>
    <row r="56" spans="1:10" ht="14.25">
      <c r="A56" s="715" t="s">
        <v>266</v>
      </c>
      <c r="B56" s="725" t="s">
        <v>267</v>
      </c>
      <c r="C56" s="722"/>
      <c r="D56" s="36"/>
    </row>
    <row r="57" spans="1:10">
      <c r="B57" s="3"/>
      <c r="C57" s="3"/>
      <c r="D57" s="3"/>
      <c r="E57" s="3"/>
      <c r="F57" s="3"/>
      <c r="G57" s="3"/>
      <c r="H57" s="3"/>
      <c r="I57" s="3"/>
      <c r="J57" s="3"/>
    </row>
    <row r="58" spans="1:10">
      <c r="B58" s="3"/>
      <c r="C58" s="3"/>
      <c r="D58" s="3"/>
      <c r="E58" s="3"/>
      <c r="F58" s="3"/>
      <c r="G58" s="3"/>
      <c r="H58" s="3"/>
      <c r="I58" s="3"/>
      <c r="J58" s="3"/>
    </row>
    <row r="59" spans="1:10">
      <c r="B59" s="3"/>
      <c r="C59" s="3"/>
      <c r="D59" s="3"/>
      <c r="E59" s="3"/>
      <c r="F59" s="3"/>
      <c r="G59" s="3"/>
      <c r="H59" s="3"/>
      <c r="I59" s="3"/>
      <c r="J59" s="3"/>
    </row>
    <row r="60" spans="1:10">
      <c r="B60" s="3"/>
      <c r="C60" s="3"/>
      <c r="D60" s="3"/>
      <c r="E60" s="3"/>
      <c r="F60" s="3"/>
      <c r="G60" s="3"/>
      <c r="H60" s="3"/>
      <c r="I60" s="3"/>
      <c r="J60" s="3"/>
    </row>
    <row r="61" spans="1:10">
      <c r="B61" s="3"/>
      <c r="C61" s="3"/>
      <c r="D61" s="3"/>
      <c r="E61" s="3"/>
      <c r="F61" s="3"/>
      <c r="G61" s="3"/>
      <c r="H61" s="3"/>
      <c r="I61" s="3"/>
      <c r="J61" s="3"/>
    </row>
    <row r="62" spans="1:10">
      <c r="B62" s="3"/>
      <c r="C62" s="3"/>
      <c r="D62" s="3"/>
      <c r="E62" s="3"/>
      <c r="F62" s="3"/>
      <c r="G62" s="3"/>
      <c r="H62" s="3"/>
      <c r="I62" s="3"/>
      <c r="J62" s="3"/>
    </row>
    <row r="63" spans="1:10">
      <c r="B63" s="3"/>
      <c r="C63" s="3"/>
      <c r="D63" s="3"/>
      <c r="E63" s="3"/>
      <c r="F63" s="3"/>
      <c r="G63" s="3"/>
      <c r="H63" s="3"/>
      <c r="I63" s="3"/>
      <c r="J63" s="3"/>
    </row>
    <row r="64" spans="1:10">
      <c r="B64" s="3"/>
      <c r="C64" s="3"/>
      <c r="D64" s="3"/>
      <c r="E64" s="3"/>
      <c r="F64" s="3"/>
      <c r="G64" s="3"/>
      <c r="H64" s="3"/>
      <c r="I64" s="3"/>
      <c r="J64" s="3"/>
    </row>
    <row r="65" spans="2:10">
      <c r="B65" s="3"/>
      <c r="C65" s="3"/>
      <c r="D65" s="3"/>
      <c r="E65" s="3"/>
      <c r="F65" s="3"/>
      <c r="G65" s="3"/>
      <c r="H65" s="3"/>
      <c r="I65" s="3"/>
      <c r="J65" s="3"/>
    </row>
    <row r="66" spans="2:10">
      <c r="B66" s="3"/>
      <c r="C66" s="3"/>
      <c r="D66" s="3"/>
      <c r="E66" s="3"/>
      <c r="F66" s="3"/>
      <c r="G66" s="3"/>
      <c r="H66" s="3"/>
      <c r="I66" s="3"/>
      <c r="J66" s="3"/>
    </row>
    <row r="67" spans="2:10">
      <c r="B67" s="3"/>
      <c r="C67" s="3"/>
      <c r="D67" s="3"/>
      <c r="E67" s="3"/>
      <c r="F67" s="3"/>
      <c r="G67" s="3"/>
      <c r="H67" s="3"/>
      <c r="I67" s="3"/>
      <c r="J67" s="3"/>
    </row>
    <row r="68" spans="2:10">
      <c r="B68" s="3"/>
      <c r="C68" s="3"/>
      <c r="D68" s="3"/>
      <c r="E68" s="3"/>
      <c r="F68" s="3"/>
      <c r="G68" s="3"/>
      <c r="H68" s="3"/>
      <c r="I68" s="3"/>
      <c r="J68" s="3"/>
    </row>
    <row r="69" spans="2:10">
      <c r="B69" s="3"/>
      <c r="C69" s="3"/>
      <c r="D69" s="3"/>
      <c r="E69" s="3"/>
      <c r="F69" s="3"/>
      <c r="G69" s="3"/>
      <c r="H69" s="3"/>
      <c r="I69" s="3"/>
      <c r="J69" s="3"/>
    </row>
    <row r="70" spans="2:10">
      <c r="B70" s="3"/>
      <c r="C70" s="3"/>
      <c r="D70" s="3"/>
      <c r="E70" s="3"/>
      <c r="F70" s="3"/>
      <c r="G70" s="3"/>
      <c r="H70" s="3"/>
      <c r="I70" s="3"/>
      <c r="J70" s="3"/>
    </row>
    <row r="71" spans="2:10">
      <c r="B71" s="3"/>
      <c r="C71" s="3"/>
      <c r="D71" s="3"/>
      <c r="E71" s="3"/>
      <c r="F71" s="3"/>
      <c r="G71" s="3"/>
      <c r="H71" s="3"/>
      <c r="I71" s="3"/>
      <c r="J71" s="3"/>
    </row>
    <row r="72" spans="2:10">
      <c r="B72" s="3"/>
      <c r="C72" s="3"/>
      <c r="D72" s="3"/>
      <c r="E72" s="3"/>
      <c r="F72" s="3"/>
      <c r="G72" s="3"/>
      <c r="H72" s="3"/>
      <c r="I72" s="3"/>
      <c r="J72" s="3"/>
    </row>
    <row r="73" spans="2:10">
      <c r="B73" s="3"/>
      <c r="C73" s="3"/>
      <c r="D73" s="3"/>
      <c r="E73" s="3"/>
      <c r="F73" s="3"/>
      <c r="G73" s="3"/>
      <c r="H73" s="3"/>
      <c r="I73" s="3"/>
      <c r="J73" s="3"/>
    </row>
    <row r="74" spans="2:10">
      <c r="B74" s="3"/>
      <c r="C74" s="3"/>
      <c r="D74" s="3"/>
      <c r="E74" s="3"/>
      <c r="F74" s="3"/>
      <c r="G74" s="3"/>
      <c r="H74" s="3"/>
      <c r="I74" s="3"/>
      <c r="J74" s="3"/>
    </row>
    <row r="75" spans="2:10">
      <c r="B75" s="3"/>
      <c r="C75" s="3"/>
      <c r="D75" s="3"/>
      <c r="E75" s="3"/>
      <c r="F75" s="3"/>
      <c r="G75" s="3"/>
      <c r="H75" s="3"/>
      <c r="I75" s="3"/>
      <c r="J75" s="3"/>
    </row>
    <row r="76" spans="2:10">
      <c r="B76" s="3"/>
      <c r="C76" s="3"/>
      <c r="D76" s="3"/>
      <c r="E76" s="3"/>
      <c r="F76" s="3"/>
      <c r="G76" s="3"/>
      <c r="H76" s="3"/>
      <c r="I76" s="3"/>
      <c r="J76" s="3"/>
    </row>
    <row r="77" spans="2:10">
      <c r="B77" s="3"/>
      <c r="C77" s="3"/>
      <c r="D77" s="3"/>
      <c r="E77" s="3"/>
      <c r="F77" s="3"/>
      <c r="G77" s="3"/>
      <c r="H77" s="3"/>
      <c r="I77" s="3"/>
      <c r="J77" s="3"/>
    </row>
    <row r="78" spans="2:10">
      <c r="B78" s="3"/>
      <c r="C78" s="3"/>
      <c r="D78" s="3"/>
      <c r="E78" s="3"/>
      <c r="F78" s="3"/>
      <c r="G78" s="3"/>
      <c r="H78" s="3"/>
      <c r="I78" s="3"/>
      <c r="J78" s="3"/>
    </row>
    <row r="79" spans="2:10">
      <c r="B79" s="3"/>
      <c r="C79" s="3"/>
      <c r="D79" s="3"/>
      <c r="E79" s="3"/>
      <c r="F79" s="3"/>
      <c r="G79" s="3"/>
      <c r="H79" s="3"/>
      <c r="I79" s="3"/>
      <c r="J79" s="3"/>
    </row>
    <row r="80" spans="2:10">
      <c r="B80" s="3"/>
      <c r="C80" s="3"/>
      <c r="D80" s="3"/>
      <c r="E80" s="3"/>
      <c r="F80" s="3"/>
      <c r="G80" s="3"/>
      <c r="H80" s="3"/>
      <c r="I80" s="3"/>
      <c r="J80" s="3"/>
    </row>
    <row r="81" spans="2:10">
      <c r="B81" s="3"/>
      <c r="C81" s="3"/>
      <c r="D81" s="3"/>
      <c r="E81" s="3"/>
      <c r="F81" s="3"/>
      <c r="G81" s="3"/>
      <c r="H81" s="3"/>
      <c r="I81" s="3"/>
      <c r="J81" s="3"/>
    </row>
    <row r="82" spans="2:10">
      <c r="B82" s="3"/>
      <c r="C82" s="3"/>
      <c r="D82" s="3"/>
      <c r="E82" s="3"/>
      <c r="F82" s="3"/>
      <c r="G82" s="3"/>
      <c r="H82" s="3"/>
      <c r="I82" s="3"/>
      <c r="J82" s="3"/>
    </row>
    <row r="83" spans="2:10">
      <c r="B83" s="3"/>
      <c r="C83" s="3"/>
      <c r="D83" s="3"/>
      <c r="E83" s="3"/>
      <c r="F83" s="3"/>
      <c r="G83" s="3"/>
      <c r="H83" s="3"/>
      <c r="I83" s="3"/>
      <c r="J83" s="3"/>
    </row>
    <row r="84" spans="2:10">
      <c r="B84" s="3"/>
      <c r="C84" s="3"/>
      <c r="D84" s="3"/>
      <c r="E84" s="3"/>
      <c r="F84" s="3"/>
      <c r="G84" s="3"/>
      <c r="H84" s="3"/>
      <c r="I84" s="3"/>
      <c r="J84" s="3"/>
    </row>
    <row r="85" spans="2:10">
      <c r="B85" s="3"/>
      <c r="C85" s="3"/>
      <c r="D85" s="3"/>
      <c r="E85" s="3"/>
      <c r="F85" s="3"/>
      <c r="G85" s="3"/>
      <c r="H85" s="3"/>
      <c r="I85" s="3"/>
      <c r="J85" s="3"/>
    </row>
    <row r="86" spans="2:10">
      <c r="B86" s="3"/>
      <c r="C86" s="3"/>
      <c r="D86" s="3"/>
      <c r="E86" s="3"/>
      <c r="F86" s="3"/>
      <c r="G86" s="3"/>
      <c r="H86" s="3"/>
      <c r="I86" s="3"/>
      <c r="J86" s="3"/>
    </row>
    <row r="87" spans="2:10">
      <c r="B87" s="3"/>
      <c r="C87" s="3"/>
      <c r="D87" s="3"/>
      <c r="E87" s="3"/>
      <c r="F87" s="3"/>
      <c r="G87" s="3"/>
      <c r="H87" s="3"/>
      <c r="I87" s="3"/>
      <c r="J87" s="3"/>
    </row>
    <row r="88" spans="2:10">
      <c r="B88" s="3"/>
      <c r="C88" s="3"/>
      <c r="D88" s="3"/>
      <c r="E88" s="3"/>
      <c r="F88" s="3"/>
      <c r="G88" s="3"/>
      <c r="H88" s="3"/>
      <c r="I88" s="3"/>
      <c r="J88" s="3"/>
    </row>
    <row r="89" spans="2:10">
      <c r="B89" s="3"/>
      <c r="C89" s="3"/>
      <c r="D89" s="3"/>
      <c r="E89" s="3"/>
      <c r="F89" s="3"/>
      <c r="G89" s="3"/>
      <c r="H89" s="3"/>
      <c r="I89" s="3"/>
      <c r="J89" s="3"/>
    </row>
    <row r="90" spans="2:10">
      <c r="B90" s="3"/>
      <c r="C90" s="3"/>
      <c r="D90" s="3"/>
      <c r="E90" s="3"/>
      <c r="F90" s="3"/>
      <c r="G90" s="3"/>
      <c r="H90" s="3"/>
      <c r="I90" s="3"/>
      <c r="J90" s="3"/>
    </row>
    <row r="91" spans="2:10">
      <c r="B91" s="3"/>
      <c r="C91" s="3"/>
      <c r="D91" s="3"/>
      <c r="E91" s="3"/>
      <c r="F91" s="3"/>
      <c r="G91" s="3"/>
      <c r="H91" s="3"/>
      <c r="I91" s="3"/>
      <c r="J91" s="3"/>
    </row>
    <row r="92" spans="2:10">
      <c r="B92" s="3"/>
      <c r="C92" s="3"/>
      <c r="D92" s="3"/>
      <c r="E92" s="3"/>
      <c r="F92" s="3"/>
      <c r="G92" s="3"/>
      <c r="H92" s="3"/>
      <c r="I92" s="3"/>
      <c r="J92" s="3"/>
    </row>
    <row r="93" spans="2:10">
      <c r="B93" s="3"/>
      <c r="C93" s="3"/>
      <c r="D93" s="3"/>
      <c r="E93" s="3"/>
      <c r="F93" s="3"/>
      <c r="G93" s="3"/>
      <c r="H93" s="3"/>
      <c r="I93" s="3"/>
      <c r="J93" s="3"/>
    </row>
    <row r="94" spans="2:10">
      <c r="B94" s="3"/>
      <c r="C94" s="3"/>
      <c r="D94" s="3"/>
      <c r="E94" s="3"/>
      <c r="F94" s="3"/>
      <c r="G94" s="3"/>
      <c r="H94" s="3"/>
      <c r="I94" s="3"/>
      <c r="J94" s="3"/>
    </row>
    <row r="95" spans="2:10">
      <c r="B95" s="3"/>
      <c r="C95" s="3"/>
      <c r="D95" s="3"/>
      <c r="E95" s="3"/>
      <c r="F95" s="3"/>
      <c r="G95" s="3"/>
      <c r="H95" s="3"/>
      <c r="I95" s="3"/>
      <c r="J95" s="3"/>
    </row>
    <row r="96" spans="2:10">
      <c r="B96" s="3"/>
      <c r="C96" s="3"/>
      <c r="D96" s="3"/>
      <c r="E96" s="3"/>
      <c r="F96" s="3"/>
      <c r="G96" s="3"/>
      <c r="H96" s="3"/>
      <c r="I96" s="3"/>
      <c r="J96" s="3"/>
    </row>
    <row r="97" spans="2:10">
      <c r="B97" s="3"/>
      <c r="C97" s="3"/>
      <c r="D97" s="3"/>
      <c r="E97" s="3"/>
      <c r="F97" s="3"/>
      <c r="G97" s="3"/>
      <c r="H97" s="3"/>
      <c r="I97" s="3"/>
      <c r="J97" s="3"/>
    </row>
    <row r="98" spans="2:10">
      <c r="B98" s="3"/>
      <c r="C98" s="3"/>
      <c r="D98" s="3"/>
      <c r="E98" s="3"/>
      <c r="F98" s="3"/>
      <c r="G98" s="3"/>
      <c r="H98" s="3"/>
      <c r="I98" s="3"/>
      <c r="J98" s="3"/>
    </row>
    <row r="99" spans="2:10">
      <c r="B99" s="3"/>
      <c r="C99" s="3"/>
      <c r="D99" s="3"/>
      <c r="E99" s="3"/>
      <c r="F99" s="3"/>
      <c r="G99" s="3"/>
      <c r="H99" s="3"/>
      <c r="I99" s="3"/>
      <c r="J99" s="3"/>
    </row>
    <row r="100" spans="2:10">
      <c r="B100" s="3"/>
      <c r="C100" s="3"/>
      <c r="D100" s="3"/>
      <c r="E100" s="3"/>
      <c r="F100" s="3"/>
      <c r="G100" s="3"/>
      <c r="H100" s="3"/>
      <c r="I100" s="3"/>
      <c r="J100" s="3"/>
    </row>
    <row r="101" spans="2:10">
      <c r="B101" s="3"/>
      <c r="C101" s="3"/>
      <c r="D101" s="3"/>
      <c r="E101" s="3"/>
      <c r="F101" s="3"/>
      <c r="G101" s="3"/>
      <c r="H101" s="3"/>
      <c r="I101" s="3"/>
      <c r="J101" s="3"/>
    </row>
    <row r="102" spans="2:10">
      <c r="B102" s="3"/>
      <c r="C102" s="3"/>
      <c r="D102" s="3"/>
      <c r="E102" s="3"/>
      <c r="F102" s="3"/>
      <c r="G102" s="3"/>
      <c r="H102" s="3"/>
      <c r="I102" s="3"/>
      <c r="J102" s="3"/>
    </row>
    <row r="103" spans="2:10">
      <c r="B103" s="3"/>
      <c r="C103" s="3"/>
      <c r="D103" s="3"/>
      <c r="E103" s="3"/>
      <c r="F103" s="3"/>
      <c r="G103" s="3"/>
      <c r="H103" s="3"/>
      <c r="I103" s="3"/>
      <c r="J103" s="3"/>
    </row>
    <row r="104" spans="2:10">
      <c r="B104" s="3"/>
      <c r="C104" s="3"/>
      <c r="D104" s="3"/>
      <c r="E104" s="3"/>
      <c r="F104" s="3"/>
      <c r="G104" s="3"/>
      <c r="H104" s="3"/>
      <c r="I104" s="3"/>
      <c r="J104" s="3"/>
    </row>
    <row r="105" spans="2:10">
      <c r="B105" s="3"/>
      <c r="C105" s="3"/>
      <c r="D105" s="3"/>
      <c r="E105" s="3"/>
      <c r="F105" s="3"/>
      <c r="G105" s="3"/>
      <c r="H105" s="3"/>
      <c r="I105" s="3"/>
      <c r="J105" s="3"/>
    </row>
    <row r="106" spans="2:10">
      <c r="B106" s="3"/>
      <c r="C106" s="3"/>
      <c r="D106" s="3"/>
      <c r="E106" s="3"/>
      <c r="F106" s="3"/>
      <c r="G106" s="3"/>
      <c r="H106" s="3"/>
      <c r="I106" s="3"/>
      <c r="J106" s="3"/>
    </row>
    <row r="107" spans="2:10">
      <c r="B107" s="3"/>
      <c r="C107" s="3"/>
      <c r="D107" s="3"/>
      <c r="E107" s="3"/>
      <c r="F107" s="3"/>
      <c r="G107" s="3"/>
      <c r="H107" s="3"/>
      <c r="I107" s="3"/>
      <c r="J107" s="3"/>
    </row>
    <row r="108" spans="2:10">
      <c r="B108" s="3"/>
      <c r="C108" s="3"/>
      <c r="D108" s="3"/>
      <c r="E108" s="3"/>
      <c r="F108" s="3"/>
      <c r="G108" s="3"/>
      <c r="H108" s="3"/>
      <c r="I108" s="3"/>
      <c r="J108" s="3"/>
    </row>
    <row r="109" spans="2:10">
      <c r="B109" s="3"/>
      <c r="C109" s="3"/>
      <c r="D109" s="3"/>
      <c r="E109" s="3"/>
      <c r="F109" s="3"/>
      <c r="G109" s="3"/>
      <c r="H109" s="3"/>
      <c r="I109" s="3"/>
      <c r="J109" s="3"/>
    </row>
    <row r="110" spans="2:10">
      <c r="B110" s="3"/>
      <c r="C110" s="3"/>
      <c r="D110" s="3"/>
      <c r="E110" s="3"/>
      <c r="F110" s="3"/>
      <c r="G110" s="3"/>
      <c r="H110" s="3"/>
      <c r="I110" s="3"/>
      <c r="J110" s="3"/>
    </row>
    <row r="111" spans="2:10">
      <c r="B111" s="3"/>
      <c r="C111" s="3"/>
      <c r="D111" s="3"/>
      <c r="E111" s="3"/>
      <c r="F111" s="3"/>
      <c r="G111" s="3"/>
      <c r="H111" s="3"/>
      <c r="I111" s="3"/>
      <c r="J111" s="3"/>
    </row>
    <row r="112" spans="2:10">
      <c r="B112" s="3"/>
      <c r="C112" s="3"/>
      <c r="D112" s="3"/>
      <c r="E112" s="3"/>
      <c r="F112" s="3"/>
      <c r="G112" s="3"/>
      <c r="H112" s="3"/>
      <c r="I112" s="3"/>
      <c r="J112" s="3"/>
    </row>
    <row r="113" spans="2:10">
      <c r="B113" s="3"/>
      <c r="C113" s="3"/>
      <c r="D113" s="3"/>
      <c r="E113" s="3"/>
      <c r="F113" s="3"/>
      <c r="G113" s="3"/>
      <c r="H113" s="3"/>
      <c r="I113" s="3"/>
      <c r="J113" s="3"/>
    </row>
    <row r="114" spans="2:10">
      <c r="B114" s="3"/>
      <c r="C114" s="3"/>
      <c r="D114" s="3"/>
      <c r="E114" s="3"/>
      <c r="F114" s="3"/>
      <c r="G114" s="3"/>
      <c r="H114" s="3"/>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ht="14.25" customHeight="1">
      <c r="B189" s="3"/>
      <c r="C189" s="3"/>
      <c r="D189" s="3"/>
      <c r="E189" s="3"/>
      <c r="F189" s="3"/>
      <c r="G189" s="3"/>
      <c r="H189" s="3"/>
      <c r="I189" s="3"/>
      <c r="J189" s="3"/>
    </row>
    <row r="190" spans="2:10" ht="12.75" customHeight="1">
      <c r="B190" s="3"/>
      <c r="C190" s="3"/>
      <c r="D190" s="3"/>
      <c r="E190" s="3"/>
      <c r="F190" s="3"/>
      <c r="G190" s="3"/>
      <c r="H190" s="3"/>
      <c r="I190" s="3"/>
      <c r="J190" s="3"/>
    </row>
    <row r="191" spans="2:10" ht="12.75" customHeight="1">
      <c r="B191" s="3"/>
      <c r="C191" s="3"/>
      <c r="D191" s="3"/>
      <c r="E191" s="3"/>
      <c r="F191" s="3"/>
      <c r="G191" s="3"/>
      <c r="H191" s="3"/>
      <c r="I191" s="3"/>
      <c r="J191" s="3"/>
    </row>
    <row r="192" spans="2:10" ht="12.75" customHeight="1">
      <c r="B192" s="3"/>
      <c r="C192" s="3"/>
      <c r="D192" s="3"/>
      <c r="E192" s="3"/>
      <c r="F192" s="3"/>
      <c r="G192" s="3"/>
      <c r="H192" s="3"/>
      <c r="I192" s="3"/>
      <c r="J192" s="3"/>
    </row>
    <row r="193" spans="2:10" ht="12.75" customHeight="1">
      <c r="B193" s="3"/>
      <c r="C193" s="3"/>
      <c r="D193" s="3"/>
      <c r="E193" s="3"/>
      <c r="F193" s="3"/>
      <c r="G193" s="3"/>
      <c r="H193" s="3"/>
      <c r="I193" s="3"/>
      <c r="J193" s="3"/>
    </row>
    <row r="194" spans="2:10" ht="12.75" customHeight="1">
      <c r="B194" s="3"/>
      <c r="C194" s="3"/>
      <c r="D194" s="3"/>
      <c r="E194" s="3"/>
      <c r="F194" s="3"/>
      <c r="G194" s="3"/>
      <c r="H194" s="3"/>
      <c r="I194" s="3"/>
      <c r="J194" s="3"/>
    </row>
    <row r="195" spans="2:10" ht="12.75" customHeight="1">
      <c r="B195" s="3"/>
      <c r="C195" s="3"/>
      <c r="D195" s="3"/>
      <c r="E195" s="3"/>
      <c r="F195" s="3"/>
      <c r="G195" s="3"/>
      <c r="H195" s="3"/>
      <c r="I195" s="3"/>
      <c r="J195" s="3"/>
    </row>
    <row r="196" spans="2:10" ht="12.75" customHeight="1">
      <c r="B196" s="3"/>
      <c r="C196" s="3"/>
      <c r="D196" s="3"/>
      <c r="E196" s="3"/>
      <c r="F196" s="3"/>
      <c r="G196" s="3"/>
      <c r="H196" s="3"/>
      <c r="I196" s="3"/>
      <c r="J196" s="3"/>
    </row>
    <row r="197" spans="2:10" ht="12.75" customHeight="1">
      <c r="B197" s="3"/>
      <c r="C197" s="3"/>
      <c r="D197" s="3"/>
      <c r="E197" s="3"/>
      <c r="F197" s="3"/>
      <c r="G197" s="3"/>
      <c r="H197" s="3"/>
      <c r="I197" s="3"/>
      <c r="J197" s="3"/>
    </row>
    <row r="198" spans="2:10" ht="12.75" customHeight="1">
      <c r="B198" s="3"/>
      <c r="C198" s="3"/>
      <c r="D198" s="3"/>
      <c r="E198" s="3"/>
      <c r="F198" s="3"/>
      <c r="G198" s="3"/>
      <c r="H198" s="3"/>
      <c r="I198" s="3"/>
      <c r="J198" s="3"/>
    </row>
    <row r="199" spans="2:10" ht="12.75" customHeight="1">
      <c r="B199" s="3"/>
      <c r="C199" s="3"/>
      <c r="D199" s="3"/>
      <c r="E199" s="3"/>
      <c r="F199" s="3"/>
      <c r="G199" s="3"/>
      <c r="H199" s="3"/>
      <c r="I199" s="3"/>
      <c r="J199" s="3"/>
    </row>
    <row r="200" spans="2:10" ht="12.75" customHeight="1">
      <c r="B200" s="3"/>
      <c r="C200" s="3"/>
      <c r="D200" s="3"/>
      <c r="E200" s="3"/>
      <c r="F200" s="3"/>
      <c r="G200" s="3"/>
      <c r="H200" s="3"/>
      <c r="I200" s="3"/>
      <c r="J200" s="3"/>
    </row>
    <row r="201" spans="2:10" ht="12.75" customHeight="1">
      <c r="B201" s="3"/>
      <c r="C201" s="3"/>
      <c r="D201" s="3"/>
      <c r="E201" s="3"/>
      <c r="F201" s="3"/>
      <c r="G201" s="3"/>
      <c r="H201" s="3"/>
      <c r="I201" s="3"/>
      <c r="J201" s="3"/>
    </row>
    <row r="202" spans="2:10" ht="12.75" customHeight="1">
      <c r="B202" s="3"/>
      <c r="C202" s="3"/>
      <c r="D202" s="3"/>
      <c r="E202" s="3"/>
      <c r="F202" s="3"/>
      <c r="G202" s="3"/>
      <c r="H202" s="3"/>
      <c r="I202" s="3"/>
      <c r="J202" s="3"/>
    </row>
    <row r="203" spans="2:10" ht="12.75" customHeight="1">
      <c r="B203" s="3"/>
      <c r="C203" s="3"/>
      <c r="D203" s="3"/>
      <c r="E203" s="3"/>
      <c r="F203" s="3"/>
      <c r="G203" s="3"/>
      <c r="H203" s="3"/>
      <c r="I203" s="3"/>
      <c r="J203" s="3"/>
    </row>
    <row r="204" spans="2:10" ht="12.75" customHeight="1">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sheetData>
  <mergeCells count="7">
    <mergeCell ref="A3:I3"/>
    <mergeCell ref="A4:I4"/>
    <mergeCell ref="A5:I5"/>
    <mergeCell ref="E10:E11"/>
    <mergeCell ref="A6:I6"/>
    <mergeCell ref="G10:G11"/>
    <mergeCell ref="I10:I11"/>
  </mergeCells>
  <phoneticPr fontId="0" type="noConversion"/>
  <pageMargins left="0.26" right="1.28" top="1" bottom="1" header="0.75" footer="0.5"/>
  <pageSetup scale="55" orientation="portrait" r:id="rId1"/>
  <headerFooter alignWithMargins="0">
    <oddHeader>&amp;R&amp;"Arial,Bold"Formula Rate
 &amp;A
Page &amp;P of &amp;N</oddHeader>
  </headerFooter>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S81"/>
  <sheetViews>
    <sheetView tabSelected="1" view="pageBreakPreview" topLeftCell="A21" zoomScale="85" zoomScaleNormal="50" zoomScaleSheetLayoutView="85" workbookViewId="0">
      <selection activeCell="B7" sqref="B7"/>
    </sheetView>
  </sheetViews>
  <sheetFormatPr defaultRowHeight="12.75"/>
  <cols>
    <col min="1" max="1" width="6.85546875" style="755" customWidth="1"/>
    <col min="2" max="2" width="57.7109375" style="754" bestFit="1" customWidth="1"/>
    <col min="3" max="4" width="14.85546875" style="754" customWidth="1"/>
    <col min="5" max="6" width="14.28515625" style="754" customWidth="1"/>
    <col min="7" max="7" width="15.28515625" style="754" bestFit="1" customWidth="1"/>
    <col min="8" max="8" width="9.140625" style="754"/>
    <col min="9" max="9" width="13.140625" style="754" bestFit="1" customWidth="1"/>
    <col min="10" max="10" width="15" style="754" bestFit="1" customWidth="1"/>
    <col min="11" max="11" width="13.5703125" style="754" bestFit="1" customWidth="1"/>
    <col min="12" max="12" width="9.140625" style="754"/>
    <col min="13" max="13" width="13.140625" style="754" bestFit="1" customWidth="1"/>
    <col min="14" max="14" width="15" style="754" bestFit="1" customWidth="1"/>
    <col min="15" max="15" width="13.5703125" style="754" bestFit="1" customWidth="1"/>
    <col min="16" max="16" width="9.140625" style="754"/>
    <col min="17" max="17" width="13.140625" style="754" bestFit="1" customWidth="1"/>
    <col min="18" max="18" width="15" style="754" bestFit="1" customWidth="1"/>
    <col min="19" max="19" width="13.5703125" style="754" bestFit="1" customWidth="1"/>
    <col min="20" max="16384" width="9.140625" style="754"/>
  </cols>
  <sheetData>
    <row r="1" spans="1:19">
      <c r="A1" s="769"/>
      <c r="B1" s="783" t="str">
        <f>TCOS!F9</f>
        <v>AEP Kentucky Transmission Company</v>
      </c>
      <c r="C1" s="758"/>
      <c r="D1" s="758"/>
      <c r="E1" s="758"/>
      <c r="F1" s="758"/>
      <c r="M1" s="758"/>
      <c r="N1" s="758"/>
      <c r="O1" s="758"/>
      <c r="P1" s="758"/>
      <c r="Q1" s="758"/>
      <c r="R1" s="758"/>
    </row>
    <row r="2" spans="1:19">
      <c r="A2" s="769"/>
      <c r="B2" s="757" t="s">
        <v>642</v>
      </c>
      <c r="C2" s="758"/>
      <c r="D2" s="758"/>
      <c r="E2" s="758"/>
      <c r="F2" s="758"/>
      <c r="M2" s="758"/>
      <c r="N2" s="758"/>
      <c r="O2" s="758"/>
      <c r="P2" s="758"/>
      <c r="Q2" s="758"/>
      <c r="R2" s="758"/>
    </row>
    <row r="3" spans="1:19">
      <c r="A3" s="769"/>
      <c r="B3" s="757" t="str">
        <f>"PERIOD ENDED DECEMBER 31, "&amp;TCOS!L4</f>
        <v>PERIOD ENDED DECEMBER 31, 2025</v>
      </c>
      <c r="C3" s="758"/>
      <c r="D3" s="758"/>
      <c r="E3" s="758"/>
      <c r="F3" s="758"/>
      <c r="G3" s="758"/>
      <c r="H3" s="758"/>
      <c r="I3" s="758"/>
      <c r="J3" s="758"/>
      <c r="K3" s="758"/>
      <c r="L3" s="758"/>
      <c r="M3" s="758"/>
      <c r="N3" s="758"/>
      <c r="O3" s="758"/>
      <c r="P3" s="758"/>
      <c r="Q3" s="758"/>
      <c r="R3" s="758"/>
      <c r="S3" s="758"/>
    </row>
    <row r="4" spans="1:19">
      <c r="A4" s="769"/>
      <c r="B4" s="758"/>
      <c r="C4" s="758"/>
      <c r="D4" s="758"/>
      <c r="E4" s="758"/>
      <c r="F4" s="758"/>
      <c r="G4" s="755" t="s">
        <v>643</v>
      </c>
      <c r="H4" s="755"/>
      <c r="I4" s="755"/>
      <c r="J4" s="755"/>
      <c r="K4" s="755"/>
      <c r="L4" s="755"/>
      <c r="M4" s="758"/>
      <c r="N4" s="758"/>
      <c r="O4" s="758"/>
      <c r="P4" s="758"/>
      <c r="Q4" s="758"/>
      <c r="R4" s="758"/>
      <c r="S4" s="758"/>
    </row>
    <row r="5" spans="1:19">
      <c r="A5" s="769"/>
      <c r="B5" s="758"/>
      <c r="C5" s="758"/>
      <c r="D5" s="758"/>
      <c r="E5" s="758"/>
      <c r="F5" s="758"/>
      <c r="G5" s="758"/>
      <c r="H5" s="758"/>
      <c r="I5" s="758"/>
      <c r="J5" s="758"/>
      <c r="K5" s="758"/>
      <c r="L5" s="758"/>
      <c r="M5" s="758"/>
      <c r="N5" s="758"/>
      <c r="O5" s="758"/>
      <c r="P5" s="758"/>
      <c r="Q5" s="758"/>
      <c r="R5" s="758"/>
      <c r="S5" s="758"/>
    </row>
    <row r="6" spans="1:19">
      <c r="A6" s="769"/>
      <c r="B6" s="758"/>
      <c r="C6" s="758"/>
      <c r="D6" s="758"/>
      <c r="E6" s="758"/>
      <c r="F6" s="758"/>
      <c r="G6" s="758"/>
      <c r="H6" s="758"/>
      <c r="I6" s="758"/>
      <c r="J6" s="758"/>
      <c r="K6" s="758"/>
      <c r="L6" s="758"/>
      <c r="M6" s="758"/>
      <c r="N6" s="758"/>
      <c r="O6" s="758"/>
      <c r="P6" s="758"/>
      <c r="Q6" s="758"/>
      <c r="R6" s="758"/>
      <c r="S6" s="758"/>
    </row>
    <row r="7" spans="1:19">
      <c r="A7" s="769"/>
      <c r="B7" s="758"/>
      <c r="C7" s="758"/>
      <c r="D7" s="758"/>
      <c r="E7" s="758"/>
      <c r="F7" s="758"/>
      <c r="G7" s="758"/>
      <c r="H7" s="758"/>
      <c r="I7" s="758"/>
      <c r="J7" s="758"/>
      <c r="K7" s="758"/>
      <c r="L7" s="758"/>
      <c r="M7" s="758"/>
      <c r="N7" s="758"/>
      <c r="O7" s="758"/>
      <c r="P7" s="758"/>
      <c r="Q7" s="758"/>
      <c r="R7" s="758"/>
      <c r="S7" s="758"/>
    </row>
    <row r="8" spans="1:19">
      <c r="A8" s="769"/>
      <c r="B8" s="759" t="s">
        <v>644</v>
      </c>
      <c r="C8" s="759" t="s">
        <v>645</v>
      </c>
      <c r="D8" s="759" t="s">
        <v>646</v>
      </c>
      <c r="E8" s="759" t="s">
        <v>647</v>
      </c>
      <c r="F8" s="759" t="s">
        <v>648</v>
      </c>
      <c r="G8" s="759" t="s">
        <v>649</v>
      </c>
      <c r="H8" s="759"/>
      <c r="I8" s="759" t="s">
        <v>650</v>
      </c>
      <c r="J8" s="759" t="s">
        <v>651</v>
      </c>
      <c r="K8" s="759" t="s">
        <v>652</v>
      </c>
      <c r="L8" s="759"/>
      <c r="M8" s="759" t="s">
        <v>653</v>
      </c>
      <c r="N8" s="759" t="s">
        <v>654</v>
      </c>
      <c r="O8" s="759" t="s">
        <v>655</v>
      </c>
      <c r="P8" s="758"/>
      <c r="Q8" s="759" t="s">
        <v>656</v>
      </c>
      <c r="R8" s="759" t="s">
        <v>657</v>
      </c>
      <c r="S8" s="759" t="s">
        <v>658</v>
      </c>
    </row>
    <row r="9" spans="1:19">
      <c r="A9" s="769"/>
      <c r="B9" s="758"/>
      <c r="C9" s="758"/>
      <c r="D9" s="758"/>
      <c r="E9" s="758"/>
      <c r="F9" s="758"/>
      <c r="G9" s="758"/>
      <c r="H9" s="758"/>
      <c r="I9" s="758"/>
      <c r="J9" s="758"/>
      <c r="K9" s="758"/>
      <c r="L9" s="758"/>
      <c r="M9" s="758"/>
      <c r="N9" s="758"/>
      <c r="O9" s="758"/>
      <c r="P9" s="758"/>
      <c r="Q9" s="758"/>
      <c r="R9" s="758"/>
      <c r="S9" s="758"/>
    </row>
    <row r="10" spans="1:19">
      <c r="A10" s="769"/>
      <c r="B10" s="758"/>
      <c r="C10" s="760" t="s">
        <v>659</v>
      </c>
      <c r="D10" s="760"/>
      <c r="E10" s="761" t="s">
        <v>660</v>
      </c>
      <c r="F10" s="760"/>
      <c r="G10" s="755" t="s">
        <v>661</v>
      </c>
      <c r="H10" s="755"/>
      <c r="I10" s="760" t="s">
        <v>662</v>
      </c>
      <c r="J10" s="760"/>
      <c r="K10" s="760"/>
      <c r="L10" s="755"/>
      <c r="M10" s="760" t="str">
        <f>"FUNCTIONALIZATION 12/31/"&amp;TCOS!L4-1</f>
        <v>FUNCTIONALIZATION 12/31/2024</v>
      </c>
      <c r="N10" s="760"/>
      <c r="O10" s="760"/>
      <c r="P10" s="758"/>
      <c r="Q10" s="760" t="str">
        <f>"FUNCTIONALIZATION 12/31/"&amp;TCOS!L4</f>
        <v>FUNCTIONALIZATION 12/31/2025</v>
      </c>
      <c r="R10" s="760"/>
      <c r="S10" s="760"/>
    </row>
    <row r="11" spans="1:19">
      <c r="A11" s="769"/>
      <c r="B11" s="758"/>
      <c r="C11" s="762"/>
      <c r="D11" s="762"/>
      <c r="E11" s="758"/>
      <c r="F11" s="758"/>
      <c r="G11" s="755" t="s">
        <v>663</v>
      </c>
      <c r="H11" s="755"/>
      <c r="I11" s="762"/>
      <c r="J11" s="762"/>
      <c r="K11" s="762"/>
      <c r="L11" s="755"/>
      <c r="M11" s="762"/>
      <c r="N11" s="762"/>
      <c r="O11" s="762"/>
      <c r="P11" s="758"/>
      <c r="Q11" s="762"/>
      <c r="R11" s="762"/>
      <c r="S11" s="762"/>
    </row>
    <row r="12" spans="1:19" s="779" customFormat="1">
      <c r="A12" s="780"/>
      <c r="B12" s="778"/>
      <c r="C12" s="781" t="s">
        <v>664</v>
      </c>
      <c r="D12" s="781" t="s">
        <v>664</v>
      </c>
      <c r="E12" s="781" t="s">
        <v>664</v>
      </c>
      <c r="F12" s="781" t="s">
        <v>664</v>
      </c>
      <c r="G12" s="781" t="s">
        <v>665</v>
      </c>
      <c r="H12" s="781"/>
      <c r="I12" s="778"/>
      <c r="J12" s="778"/>
      <c r="K12" s="778"/>
      <c r="L12" s="781"/>
      <c r="M12" s="778"/>
      <c r="N12" s="778"/>
      <c r="O12" s="778"/>
      <c r="P12" s="778"/>
      <c r="Q12" s="778"/>
      <c r="R12" s="778"/>
      <c r="S12" s="778"/>
    </row>
    <row r="13" spans="1:19" s="779" customFormat="1">
      <c r="A13" s="780"/>
      <c r="B13" s="782" t="s">
        <v>666</v>
      </c>
      <c r="C13" s="782" t="str">
        <f>"OF 12-31-"&amp;TCOS!L4-1</f>
        <v>OF 12-31-2024</v>
      </c>
      <c r="D13" s="782" t="str">
        <f>"OF 12-31-"&amp;TCOS!L4</f>
        <v>OF 12-31-2025</v>
      </c>
      <c r="E13" s="782" t="str">
        <f>"OF 12-31-"&amp;TCOS!L4-1</f>
        <v>OF 12-31-2024</v>
      </c>
      <c r="F13" s="782" t="str">
        <f>"OF 12-31-"&amp;TCOS!L4</f>
        <v>OF 12-31-2025</v>
      </c>
      <c r="G13" s="782" t="s">
        <v>667</v>
      </c>
      <c r="H13" s="782"/>
      <c r="I13" s="782" t="s">
        <v>668</v>
      </c>
      <c r="J13" s="782" t="s">
        <v>669</v>
      </c>
      <c r="K13" s="782" t="s">
        <v>670</v>
      </c>
      <c r="L13" s="782"/>
      <c r="M13" s="782" t="s">
        <v>668</v>
      </c>
      <c r="N13" s="782" t="s">
        <v>669</v>
      </c>
      <c r="O13" s="782" t="s">
        <v>670</v>
      </c>
      <c r="P13" s="778"/>
      <c r="Q13" s="782" t="s">
        <v>668</v>
      </c>
      <c r="R13" s="782" t="s">
        <v>669</v>
      </c>
      <c r="S13" s="782" t="s">
        <v>670</v>
      </c>
    </row>
    <row r="14" spans="1:19">
      <c r="A14" s="769"/>
      <c r="B14" s="758"/>
      <c r="C14" s="758"/>
      <c r="D14" s="758"/>
      <c r="E14" s="758"/>
      <c r="F14" s="758"/>
      <c r="G14" s="758"/>
      <c r="H14" s="758"/>
      <c r="I14" s="758"/>
      <c r="J14" s="758"/>
      <c r="K14" s="758"/>
      <c r="L14" s="758"/>
      <c r="M14" s="758"/>
      <c r="N14" s="758"/>
      <c r="O14" s="758"/>
      <c r="P14" s="758"/>
      <c r="Q14" s="758"/>
      <c r="R14" s="758"/>
      <c r="S14" s="758"/>
    </row>
    <row r="15" spans="1:19">
      <c r="A15" s="777">
        <v>1</v>
      </c>
      <c r="B15" s="756" t="s">
        <v>671</v>
      </c>
      <c r="C15" s="764"/>
      <c r="D15" s="764"/>
      <c r="E15" s="764"/>
      <c r="F15" s="765"/>
      <c r="G15" s="764"/>
      <c r="H15" s="764"/>
      <c r="I15" s="764"/>
      <c r="J15" s="764"/>
      <c r="K15" s="764"/>
      <c r="L15" s="764"/>
      <c r="M15" s="764"/>
      <c r="N15" s="764"/>
      <c r="O15" s="764"/>
      <c r="P15" s="764"/>
      <c r="Q15" s="764"/>
      <c r="R15" s="764"/>
      <c r="S15" s="764"/>
    </row>
    <row r="16" spans="1:19">
      <c r="A16" s="777">
        <v>2.0099999999999998</v>
      </c>
      <c r="B16" s="756"/>
      <c r="C16" s="764"/>
      <c r="D16" s="764"/>
      <c r="E16" s="764"/>
      <c r="F16" s="764"/>
      <c r="G16" s="764"/>
      <c r="H16" s="764"/>
      <c r="I16" s="764"/>
      <c r="J16" s="764"/>
      <c r="K16" s="764"/>
      <c r="L16" s="764"/>
      <c r="M16" s="764"/>
      <c r="N16" s="764"/>
      <c r="O16" s="764"/>
      <c r="P16" s="764"/>
      <c r="Q16" s="764"/>
      <c r="R16" s="764"/>
      <c r="S16" s="764"/>
    </row>
    <row r="17" spans="1:19">
      <c r="A17" s="777">
        <v>2.02</v>
      </c>
      <c r="B17" s="756"/>
      <c r="C17" s="764">
        <f>SUM(M17:O17)</f>
        <v>0</v>
      </c>
      <c r="D17" s="764">
        <f>SUM(Q17:S17)</f>
        <v>0</v>
      </c>
      <c r="E17" s="764"/>
      <c r="F17" s="764"/>
      <c r="G17" s="764">
        <f>ROUND(SUM(C17:F17)/2,0)</f>
        <v>0</v>
      </c>
      <c r="H17" s="764"/>
      <c r="I17" s="764">
        <f>(M17+Q17)/2</f>
        <v>0</v>
      </c>
      <c r="J17" s="764">
        <f>(N17+R17)/2</f>
        <v>0</v>
      </c>
      <c r="K17" s="764">
        <f>(O17+S17)/2</f>
        <v>0</v>
      </c>
      <c r="L17" s="764"/>
      <c r="M17" s="756"/>
      <c r="N17" s="756"/>
      <c r="O17" s="756"/>
      <c r="P17" s="764"/>
      <c r="Q17" s="756"/>
      <c r="R17" s="756"/>
      <c r="S17" s="756"/>
    </row>
    <row r="18" spans="1:19">
      <c r="A18" s="777">
        <v>2.0299999999999998</v>
      </c>
      <c r="B18" s="756"/>
      <c r="C18" s="764"/>
      <c r="D18" s="764"/>
      <c r="E18" s="764"/>
      <c r="F18" s="764"/>
      <c r="G18" s="764"/>
      <c r="H18" s="764"/>
      <c r="I18" s="764"/>
      <c r="J18" s="764"/>
      <c r="K18" s="764"/>
      <c r="L18" s="764"/>
      <c r="M18" s="764"/>
      <c r="N18" s="764"/>
      <c r="O18" s="764"/>
      <c r="P18" s="764"/>
      <c r="Q18" s="764"/>
      <c r="R18" s="764"/>
      <c r="S18" s="764"/>
    </row>
    <row r="19" spans="1:19">
      <c r="A19" s="777">
        <v>2.04</v>
      </c>
      <c r="B19" s="756"/>
      <c r="C19" s="764">
        <v>0</v>
      </c>
      <c r="D19" s="764">
        <v>0</v>
      </c>
      <c r="E19" s="764">
        <f t="shared" ref="E19:F21" si="0">-C19</f>
        <v>0</v>
      </c>
      <c r="F19" s="764">
        <f t="shared" si="0"/>
        <v>0</v>
      </c>
      <c r="G19" s="764">
        <f>ROUND(SUM(C19:F19)/2,0)</f>
        <v>0</v>
      </c>
      <c r="H19" s="764"/>
      <c r="I19" s="764"/>
      <c r="J19" s="764"/>
      <c r="K19" s="764"/>
      <c r="L19" s="764"/>
      <c r="M19" s="764"/>
      <c r="N19" s="764"/>
      <c r="O19" s="764"/>
      <c r="P19" s="764"/>
      <c r="Q19" s="764"/>
      <c r="R19" s="764"/>
      <c r="S19" s="764"/>
    </row>
    <row r="20" spans="1:19">
      <c r="A20" s="777">
        <v>2.0499999999999998</v>
      </c>
      <c r="B20" s="756"/>
      <c r="C20" s="764">
        <v>0</v>
      </c>
      <c r="D20" s="764">
        <v>0</v>
      </c>
      <c r="E20" s="764">
        <f t="shared" si="0"/>
        <v>0</v>
      </c>
      <c r="F20" s="764">
        <f t="shared" si="0"/>
        <v>0</v>
      </c>
      <c r="G20" s="764">
        <f>ROUND(SUM(C20:F20)/2,0)</f>
        <v>0</v>
      </c>
      <c r="H20" s="764"/>
      <c r="I20" s="764"/>
      <c r="J20" s="764"/>
      <c r="K20" s="764"/>
      <c r="L20" s="764"/>
      <c r="M20" s="764"/>
      <c r="N20" s="764"/>
      <c r="O20" s="764"/>
      <c r="P20" s="764"/>
      <c r="Q20" s="764"/>
      <c r="R20" s="764"/>
      <c r="S20" s="764"/>
    </row>
    <row r="21" spans="1:19">
      <c r="A21" s="777">
        <v>2.06</v>
      </c>
      <c r="B21" s="756"/>
      <c r="C21" s="764">
        <v>0</v>
      </c>
      <c r="D21" s="764">
        <v>0</v>
      </c>
      <c r="E21" s="764">
        <f t="shared" si="0"/>
        <v>0</v>
      </c>
      <c r="F21" s="764">
        <f t="shared" si="0"/>
        <v>0</v>
      </c>
      <c r="G21" s="764">
        <f>ROUND(SUM(C21:F21)/2,0)</f>
        <v>0</v>
      </c>
      <c r="H21" s="764"/>
      <c r="I21" s="764"/>
      <c r="J21" s="764"/>
      <c r="K21" s="764"/>
      <c r="L21" s="764"/>
      <c r="M21" s="764"/>
      <c r="N21" s="764"/>
      <c r="O21" s="764"/>
      <c r="P21" s="764"/>
      <c r="Q21" s="764"/>
      <c r="R21" s="764"/>
      <c r="S21" s="764"/>
    </row>
    <row r="22" spans="1:19">
      <c r="A22" s="770"/>
      <c r="B22" s="758"/>
      <c r="C22" s="764"/>
      <c r="D22" s="764"/>
      <c r="E22" s="764"/>
      <c r="F22" s="764"/>
      <c r="G22" s="764"/>
      <c r="H22" s="764"/>
      <c r="I22" s="764"/>
      <c r="J22" s="764"/>
      <c r="K22" s="764"/>
      <c r="L22" s="764"/>
      <c r="M22" s="764"/>
      <c r="N22" s="764"/>
      <c r="O22" s="764"/>
      <c r="P22" s="764"/>
      <c r="Q22" s="764"/>
      <c r="R22" s="764"/>
      <c r="S22" s="764"/>
    </row>
    <row r="23" spans="1:19" ht="13.5" thickBot="1">
      <c r="A23" s="770">
        <v>3</v>
      </c>
      <c r="B23" s="754" t="s">
        <v>672</v>
      </c>
      <c r="C23" s="766">
        <f>SUM(C17:C22)</f>
        <v>0</v>
      </c>
      <c r="D23" s="766">
        <f>SUM(D17:D22)</f>
        <v>0</v>
      </c>
      <c r="E23" s="766">
        <f>SUM(E17:E22)</f>
        <v>0</v>
      </c>
      <c r="F23" s="766">
        <f>SUM(F17:F22)</f>
        <v>0</v>
      </c>
      <c r="G23" s="766">
        <f>SUM(G17:G22)</f>
        <v>0</v>
      </c>
      <c r="H23" s="764"/>
      <c r="I23" s="766">
        <f>SUM(I17:I22)</f>
        <v>0</v>
      </c>
      <c r="J23" s="766">
        <f>SUM(J17:J22)</f>
        <v>0</v>
      </c>
      <c r="K23" s="766">
        <f>SUM(K17:K22)</f>
        <v>0</v>
      </c>
      <c r="L23" s="764"/>
      <c r="M23" s="766">
        <f>SUM(M17:M22)</f>
        <v>0</v>
      </c>
      <c r="N23" s="766">
        <f>SUM(N17:N22)</f>
        <v>0</v>
      </c>
      <c r="O23" s="766">
        <f>SUM(O17:O22)</f>
        <v>0</v>
      </c>
      <c r="P23" s="764"/>
      <c r="Q23" s="766">
        <f>SUM(Q17:Q22)</f>
        <v>0</v>
      </c>
      <c r="R23" s="766">
        <f>SUM(R17:R22)</f>
        <v>0</v>
      </c>
      <c r="S23" s="766">
        <f>SUM(S17:S22)</f>
        <v>0</v>
      </c>
    </row>
    <row r="24" spans="1:19" ht="13.5" thickTop="1">
      <c r="A24" s="770">
        <f>A23+1</f>
        <v>4</v>
      </c>
      <c r="B24" s="758" t="s">
        <v>673</v>
      </c>
      <c r="C24" s="774">
        <v>0</v>
      </c>
      <c r="D24" s="774">
        <v>0</v>
      </c>
      <c r="E24" s="774">
        <v>0</v>
      </c>
      <c r="F24" s="774">
        <v>0</v>
      </c>
      <c r="G24" s="774">
        <v>0</v>
      </c>
      <c r="H24" s="775"/>
      <c r="I24" s="774">
        <v>0</v>
      </c>
      <c r="J24" s="774">
        <v>0</v>
      </c>
      <c r="K24" s="774">
        <v>0</v>
      </c>
      <c r="L24" s="775"/>
      <c r="M24" s="774">
        <v>0</v>
      </c>
      <c r="N24" s="774">
        <v>0</v>
      </c>
      <c r="O24" s="774">
        <v>0</v>
      </c>
      <c r="P24" s="775"/>
      <c r="Q24" s="774">
        <v>0</v>
      </c>
      <c r="R24" s="774">
        <v>0</v>
      </c>
      <c r="S24" s="774">
        <v>0</v>
      </c>
    </row>
    <row r="25" spans="1:19">
      <c r="A25" s="770"/>
      <c r="B25" s="758"/>
      <c r="C25" s="764"/>
      <c r="D25" s="764"/>
      <c r="E25" s="764"/>
      <c r="F25" s="764"/>
      <c r="G25" s="764"/>
      <c r="H25" s="764"/>
      <c r="I25" s="764"/>
      <c r="J25" s="764"/>
      <c r="K25" s="764"/>
      <c r="L25" s="764"/>
      <c r="M25" s="764"/>
      <c r="N25" s="764"/>
      <c r="O25" s="764"/>
      <c r="P25" s="764"/>
      <c r="Q25" s="764"/>
      <c r="R25" s="764"/>
      <c r="S25" s="764"/>
    </row>
    <row r="26" spans="1:19">
      <c r="A26" s="770">
        <v>5</v>
      </c>
      <c r="B26" s="754" t="s">
        <v>674</v>
      </c>
      <c r="C26" s="764"/>
      <c r="D26" s="764"/>
      <c r="E26" s="764"/>
      <c r="F26" s="764"/>
      <c r="G26" s="764"/>
      <c r="H26" s="764"/>
      <c r="I26" s="764"/>
      <c r="J26" s="764"/>
      <c r="K26" s="764"/>
      <c r="L26" s="764"/>
      <c r="M26" s="764"/>
      <c r="N26" s="764"/>
      <c r="O26" s="764"/>
      <c r="P26" s="764"/>
      <c r="Q26" s="764"/>
      <c r="R26" s="764"/>
      <c r="S26" s="764"/>
    </row>
    <row r="27" spans="1:19">
      <c r="A27" s="776"/>
      <c r="B27" s="758"/>
      <c r="C27" s="764"/>
      <c r="D27" s="764"/>
      <c r="E27" s="764"/>
      <c r="F27" s="764"/>
      <c r="G27" s="764"/>
      <c r="H27" s="764"/>
      <c r="I27" s="764"/>
      <c r="J27" s="764"/>
      <c r="K27" s="764"/>
      <c r="L27" s="764"/>
      <c r="M27" s="764"/>
      <c r="N27" s="764"/>
      <c r="O27" s="764"/>
      <c r="P27" s="764"/>
      <c r="Q27" s="764"/>
      <c r="R27" s="764"/>
      <c r="S27" s="764"/>
    </row>
    <row r="28" spans="1:19">
      <c r="A28" s="777">
        <v>5.01</v>
      </c>
      <c r="B28" s="756" t="s">
        <v>996</v>
      </c>
      <c r="C28" s="764">
        <f t="shared" ref="C28:C35" si="1">SUM(M28:O28)</f>
        <v>5654956</v>
      </c>
      <c r="D28" s="764">
        <f t="shared" ref="D28:D35" si="2">SUM(Q28:S28)</f>
        <v>5670945</v>
      </c>
      <c r="E28" s="764"/>
      <c r="F28" s="764"/>
      <c r="G28" s="764">
        <f t="shared" ref="G28:G35" si="3">ROUND(SUM(C28:F28)/2,0)</f>
        <v>5662951</v>
      </c>
      <c r="H28" s="764"/>
      <c r="I28" s="764">
        <f t="shared" ref="I28:I35" si="4">(M28+Q28)/2</f>
        <v>0</v>
      </c>
      <c r="J28" s="764">
        <f t="shared" ref="J28:J35" si="5">(N28+R28)/2</f>
        <v>5662950.5</v>
      </c>
      <c r="K28" s="764">
        <f t="shared" ref="K28:K35" si="6">(O28+S28)/2</f>
        <v>0</v>
      </c>
      <c r="L28" s="764"/>
      <c r="M28" s="756"/>
      <c r="N28" s="756">
        <v>5654956</v>
      </c>
      <c r="O28" s="756"/>
      <c r="P28" s="764"/>
      <c r="Q28" s="756"/>
      <c r="R28" s="756">
        <v>5670945</v>
      </c>
      <c r="S28" s="756"/>
    </row>
    <row r="29" spans="1:19">
      <c r="A29" s="777">
        <f t="shared" ref="A29:A42" si="7">A28+0.01</f>
        <v>5.0199999999999996</v>
      </c>
      <c r="B29" s="756" t="s">
        <v>997</v>
      </c>
      <c r="C29" s="764">
        <f t="shared" si="1"/>
        <v>179281.28</v>
      </c>
      <c r="D29" s="764">
        <f t="shared" si="2"/>
        <v>119521.28</v>
      </c>
      <c r="E29" s="764"/>
      <c r="F29" s="764"/>
      <c r="G29" s="764">
        <f t="shared" si="3"/>
        <v>149401</v>
      </c>
      <c r="H29" s="764"/>
      <c r="I29" s="764">
        <f t="shared" si="4"/>
        <v>0</v>
      </c>
      <c r="J29" s="764">
        <f t="shared" si="5"/>
        <v>149401.28</v>
      </c>
      <c r="K29" s="764">
        <f t="shared" si="6"/>
        <v>0</v>
      </c>
      <c r="L29" s="764"/>
      <c r="M29" s="756"/>
      <c r="N29" s="756">
        <v>179281.28</v>
      </c>
      <c r="O29" s="756"/>
      <c r="P29" s="764"/>
      <c r="Q29" s="756"/>
      <c r="R29" s="756">
        <v>119521.28</v>
      </c>
      <c r="S29" s="756"/>
    </row>
    <row r="30" spans="1:19">
      <c r="A30" s="777">
        <f t="shared" si="7"/>
        <v>5.0299999999999994</v>
      </c>
      <c r="B30" s="756" t="s">
        <v>984</v>
      </c>
      <c r="C30" s="764">
        <f t="shared" si="1"/>
        <v>470610.44</v>
      </c>
      <c r="D30" s="764">
        <f t="shared" si="2"/>
        <v>475037.69</v>
      </c>
      <c r="E30" s="764"/>
      <c r="F30" s="764"/>
      <c r="G30" s="764">
        <f t="shared" si="3"/>
        <v>472824</v>
      </c>
      <c r="H30" s="764"/>
      <c r="I30" s="764">
        <f t="shared" si="4"/>
        <v>0</v>
      </c>
      <c r="J30" s="764">
        <f t="shared" si="5"/>
        <v>472824.065</v>
      </c>
      <c r="K30" s="764">
        <f t="shared" si="6"/>
        <v>0</v>
      </c>
      <c r="L30" s="764"/>
      <c r="M30" s="756"/>
      <c r="N30" s="756">
        <v>470610.44</v>
      </c>
      <c r="O30" s="756"/>
      <c r="P30" s="764"/>
      <c r="Q30" s="756"/>
      <c r="R30" s="756">
        <v>475037.69</v>
      </c>
      <c r="S30" s="756"/>
    </row>
    <row r="31" spans="1:19">
      <c r="A31" s="777">
        <f t="shared" si="7"/>
        <v>5.0399999999999991</v>
      </c>
      <c r="B31" s="756" t="s">
        <v>985</v>
      </c>
      <c r="C31" s="764">
        <f t="shared" si="1"/>
        <v>21963.48</v>
      </c>
      <c r="D31" s="764">
        <f t="shared" si="2"/>
        <v>-1840675.62</v>
      </c>
      <c r="E31" s="764"/>
      <c r="F31" s="764"/>
      <c r="G31" s="764">
        <f t="shared" si="3"/>
        <v>-909356</v>
      </c>
      <c r="H31" s="764"/>
      <c r="I31" s="764">
        <f t="shared" si="4"/>
        <v>0</v>
      </c>
      <c r="J31" s="764">
        <f t="shared" si="5"/>
        <v>-909356.07000000007</v>
      </c>
      <c r="K31" s="764">
        <f t="shared" si="6"/>
        <v>0</v>
      </c>
      <c r="L31" s="764"/>
      <c r="M31" s="756"/>
      <c r="N31" s="756">
        <v>21963.48</v>
      </c>
      <c r="O31" s="756"/>
      <c r="P31" s="764"/>
      <c r="Q31" s="756"/>
      <c r="R31" s="756">
        <v>-1840675.62</v>
      </c>
      <c r="S31" s="756"/>
    </row>
    <row r="32" spans="1:19">
      <c r="A32" s="777">
        <f t="shared" si="7"/>
        <v>5.0499999999999989</v>
      </c>
      <c r="B32" s="756" t="s">
        <v>986</v>
      </c>
      <c r="C32" s="764">
        <f t="shared" si="1"/>
        <v>-942312.43</v>
      </c>
      <c r="D32" s="764">
        <f t="shared" si="2"/>
        <v>-952794.58000000007</v>
      </c>
      <c r="E32" s="764"/>
      <c r="F32" s="764"/>
      <c r="G32" s="764">
        <f t="shared" si="3"/>
        <v>-947554</v>
      </c>
      <c r="H32" s="764"/>
      <c r="I32" s="764">
        <f t="shared" si="4"/>
        <v>0</v>
      </c>
      <c r="J32" s="764">
        <f t="shared" si="5"/>
        <v>-947553.50500000012</v>
      </c>
      <c r="K32" s="764">
        <f t="shared" si="6"/>
        <v>0</v>
      </c>
      <c r="L32" s="764"/>
      <c r="M32" s="756"/>
      <c r="N32" s="756">
        <v>-942312.43</v>
      </c>
      <c r="O32" s="756"/>
      <c r="P32" s="764"/>
      <c r="Q32" s="756"/>
      <c r="R32" s="756">
        <v>-952794.58000000007</v>
      </c>
      <c r="S32" s="756"/>
    </row>
    <row r="33" spans="1:19">
      <c r="A33" s="777">
        <f t="shared" si="7"/>
        <v>5.0599999999999987</v>
      </c>
      <c r="B33" s="756" t="s">
        <v>987</v>
      </c>
      <c r="C33" s="764">
        <f t="shared" si="1"/>
        <v>16578109.869999999</v>
      </c>
      <c r="D33" s="764">
        <f t="shared" si="2"/>
        <v>17254665.190000001</v>
      </c>
      <c r="E33" s="764"/>
      <c r="F33" s="764"/>
      <c r="G33" s="764">
        <f t="shared" si="3"/>
        <v>16916388</v>
      </c>
      <c r="H33" s="764"/>
      <c r="I33" s="764">
        <f t="shared" si="4"/>
        <v>0</v>
      </c>
      <c r="J33" s="764">
        <f t="shared" si="5"/>
        <v>16916387.530000001</v>
      </c>
      <c r="K33" s="764">
        <f t="shared" si="6"/>
        <v>0</v>
      </c>
      <c r="L33" s="764"/>
      <c r="M33" s="756"/>
      <c r="N33" s="756">
        <v>16578109.869999999</v>
      </c>
      <c r="O33" s="756"/>
      <c r="P33" s="764"/>
      <c r="Q33" s="756"/>
      <c r="R33" s="756">
        <v>17254665.190000001</v>
      </c>
      <c r="S33" s="756"/>
    </row>
    <row r="34" spans="1:19">
      <c r="A34" s="777">
        <f t="shared" si="7"/>
        <v>5.0699999999999985</v>
      </c>
      <c r="B34" s="756" t="s">
        <v>988</v>
      </c>
      <c r="C34" s="764">
        <f t="shared" si="1"/>
        <v>62647.040000000001</v>
      </c>
      <c r="D34" s="764">
        <f t="shared" si="2"/>
        <v>62647.040000000001</v>
      </c>
      <c r="E34" s="764"/>
      <c r="F34" s="764"/>
      <c r="G34" s="764">
        <f t="shared" si="3"/>
        <v>62647</v>
      </c>
      <c r="H34" s="764"/>
      <c r="I34" s="764">
        <f t="shared" si="4"/>
        <v>0</v>
      </c>
      <c r="J34" s="764">
        <f t="shared" si="5"/>
        <v>62647.040000000001</v>
      </c>
      <c r="K34" s="764">
        <f t="shared" si="6"/>
        <v>0</v>
      </c>
      <c r="L34" s="764"/>
      <c r="M34" s="756"/>
      <c r="N34" s="756">
        <v>62647.040000000001</v>
      </c>
      <c r="O34" s="756"/>
      <c r="P34" s="764"/>
      <c r="Q34" s="756"/>
      <c r="R34" s="756">
        <v>62647.040000000001</v>
      </c>
      <c r="S34" s="756"/>
    </row>
    <row r="35" spans="1:19">
      <c r="A35" s="777">
        <f t="shared" si="7"/>
        <v>5.0799999999999983</v>
      </c>
      <c r="B35" s="756" t="s">
        <v>989</v>
      </c>
      <c r="C35" s="764">
        <f t="shared" si="1"/>
        <v>-127890.84</v>
      </c>
      <c r="D35" s="764">
        <f t="shared" si="2"/>
        <v>0</v>
      </c>
      <c r="E35" s="764"/>
      <c r="F35" s="764"/>
      <c r="G35" s="764">
        <f t="shared" si="3"/>
        <v>-63945</v>
      </c>
      <c r="H35" s="764"/>
      <c r="I35" s="764">
        <f t="shared" si="4"/>
        <v>0</v>
      </c>
      <c r="J35" s="764">
        <f t="shared" si="5"/>
        <v>-63945.42</v>
      </c>
      <c r="K35" s="764">
        <f t="shared" si="6"/>
        <v>0</v>
      </c>
      <c r="L35" s="764"/>
      <c r="M35" s="756"/>
      <c r="N35" s="756">
        <v>-127890.84</v>
      </c>
      <c r="O35" s="756"/>
      <c r="P35" s="764"/>
      <c r="Q35" s="756"/>
      <c r="R35" s="756">
        <v>0</v>
      </c>
      <c r="S35" s="756"/>
    </row>
    <row r="36" spans="1:19">
      <c r="A36" s="777">
        <f t="shared" si="7"/>
        <v>5.0899999999999981</v>
      </c>
      <c r="B36" s="756" t="s">
        <v>1058</v>
      </c>
      <c r="C36" s="764">
        <f t="shared" ref="C36" si="8">SUM(M36:O36)</f>
        <v>0</v>
      </c>
      <c r="D36" s="764">
        <f t="shared" ref="D36" si="9">SUM(Q36:S36)</f>
        <v>129909.44</v>
      </c>
      <c r="E36" s="764"/>
      <c r="F36" s="764"/>
      <c r="G36" s="764">
        <f t="shared" ref="G36" si="10">ROUND(SUM(C36:F36)/2,0)</f>
        <v>64955</v>
      </c>
      <c r="H36" s="764"/>
      <c r="I36" s="764">
        <f t="shared" ref="I36" si="11">(M36+Q36)/2</f>
        <v>0</v>
      </c>
      <c r="J36" s="764">
        <f t="shared" ref="J36" si="12">(N36+R36)/2</f>
        <v>64954.720000000001</v>
      </c>
      <c r="K36" s="764">
        <f t="shared" ref="K36" si="13">(O36+S36)/2</f>
        <v>0</v>
      </c>
      <c r="L36" s="764"/>
      <c r="M36" s="756"/>
      <c r="N36" s="756">
        <v>0</v>
      </c>
      <c r="O36" s="756"/>
      <c r="P36" s="764"/>
      <c r="Q36" s="756"/>
      <c r="R36" s="756">
        <v>129909.44</v>
      </c>
      <c r="S36" s="756"/>
    </row>
    <row r="37" spans="1:19">
      <c r="A37" s="777">
        <f t="shared" si="7"/>
        <v>5.0999999999999979</v>
      </c>
      <c r="B37" s="1033" t="s">
        <v>917</v>
      </c>
      <c r="C37" s="1033">
        <f>SUM(M37:O37)</f>
        <v>-4382902.6492623808</v>
      </c>
      <c r="D37" s="1033">
        <f>SUM(Q37:S37)</f>
        <v>0</v>
      </c>
      <c r="E37" s="1034"/>
      <c r="F37" s="1034"/>
      <c r="G37" s="1035">
        <f t="shared" ref="G37:G42" si="14">ROUND(SUM(C37:F37)/2,0)</f>
        <v>-2191451</v>
      </c>
      <c r="H37" s="1035"/>
      <c r="I37" s="1035">
        <f t="shared" ref="I37:K37" si="15">(M37+Q37)/2</f>
        <v>0</v>
      </c>
      <c r="J37" s="1035">
        <f t="shared" si="15"/>
        <v>-2191451.3246311904</v>
      </c>
      <c r="K37" s="1035">
        <f t="shared" si="15"/>
        <v>0</v>
      </c>
      <c r="L37" s="764"/>
      <c r="M37" s="756"/>
      <c r="N37" s="756">
        <v>-4382902.6492623808</v>
      </c>
      <c r="O37" s="756"/>
      <c r="P37" s="764"/>
      <c r="Q37" s="756"/>
      <c r="R37" s="756">
        <v>0</v>
      </c>
      <c r="S37" s="756"/>
    </row>
    <row r="38" spans="1:19">
      <c r="A38" s="777">
        <f t="shared" si="7"/>
        <v>5.1099999999999977</v>
      </c>
      <c r="B38" s="1033" t="s">
        <v>918</v>
      </c>
      <c r="C38" s="1033">
        <f>-E38</f>
        <v>4382902.6492623808</v>
      </c>
      <c r="D38" s="1033">
        <f>-F38</f>
        <v>0</v>
      </c>
      <c r="E38" s="1034">
        <f>C37</f>
        <v>-4382902.6492623808</v>
      </c>
      <c r="F38" s="1034">
        <f>D37</f>
        <v>0</v>
      </c>
      <c r="G38" s="1035">
        <f t="shared" si="14"/>
        <v>0</v>
      </c>
      <c r="H38" s="1035"/>
      <c r="I38" s="764"/>
      <c r="J38" s="764"/>
      <c r="K38" s="764"/>
      <c r="L38" s="764"/>
      <c r="M38" s="756"/>
      <c r="N38" s="756"/>
      <c r="O38" s="756"/>
      <c r="P38" s="764"/>
      <c r="Q38" s="756"/>
      <c r="R38" s="756"/>
      <c r="S38" s="756"/>
    </row>
    <row r="39" spans="1:19">
      <c r="A39" s="777">
        <f t="shared" si="7"/>
        <v>5.1199999999999974</v>
      </c>
      <c r="B39" s="756" t="s">
        <v>843</v>
      </c>
      <c r="C39" s="756">
        <f t="shared" ref="C39:D42" si="16">-E39</f>
        <v>0</v>
      </c>
      <c r="D39" s="756">
        <f t="shared" si="16"/>
        <v>0</v>
      </c>
      <c r="E39" s="764">
        <v>0</v>
      </c>
      <c r="F39" s="764">
        <v>0</v>
      </c>
      <c r="G39" s="764">
        <f t="shared" si="14"/>
        <v>0</v>
      </c>
      <c r="H39" s="764"/>
      <c r="I39" s="764"/>
      <c r="J39" s="764"/>
      <c r="K39" s="764"/>
      <c r="L39" s="764"/>
      <c r="M39" s="764"/>
      <c r="N39" s="764"/>
      <c r="O39" s="764"/>
      <c r="P39" s="764"/>
      <c r="Q39" s="764"/>
      <c r="R39" s="764"/>
      <c r="S39" s="764"/>
    </row>
    <row r="40" spans="1:19">
      <c r="A40" s="777">
        <f t="shared" si="7"/>
        <v>5.1299999999999972</v>
      </c>
      <c r="B40" s="756" t="s">
        <v>844</v>
      </c>
      <c r="C40" s="756">
        <f t="shared" si="16"/>
        <v>1465074.74</v>
      </c>
      <c r="D40" s="756">
        <f t="shared" si="16"/>
        <v>1447522.3599999999</v>
      </c>
      <c r="E40" s="764">
        <v>-1465074.74</v>
      </c>
      <c r="F40" s="764">
        <v>-1447522.3599999999</v>
      </c>
      <c r="G40" s="764">
        <f t="shared" si="14"/>
        <v>0</v>
      </c>
      <c r="H40" s="764"/>
      <c r="I40" s="764"/>
      <c r="J40" s="764"/>
      <c r="K40" s="764"/>
      <c r="L40" s="764"/>
      <c r="M40" s="764"/>
      <c r="N40" s="764"/>
      <c r="O40" s="764"/>
      <c r="P40" s="764"/>
      <c r="Q40" s="764"/>
      <c r="R40" s="764"/>
      <c r="S40" s="764"/>
    </row>
    <row r="41" spans="1:19">
      <c r="A41" s="777">
        <f t="shared" si="7"/>
        <v>5.139999999999997</v>
      </c>
      <c r="B41" s="756" t="s">
        <v>1048</v>
      </c>
      <c r="C41" s="756">
        <f t="shared" ref="C41" si="17">-E41</f>
        <v>0</v>
      </c>
      <c r="D41" s="756">
        <f t="shared" ref="D41" si="18">-F41</f>
        <v>509945.61</v>
      </c>
      <c r="E41" s="764">
        <v>0</v>
      </c>
      <c r="F41" s="764">
        <v>-509945.61</v>
      </c>
      <c r="G41" s="764">
        <f t="shared" si="14"/>
        <v>0</v>
      </c>
      <c r="H41" s="764"/>
      <c r="I41" s="764"/>
      <c r="J41" s="764"/>
      <c r="K41" s="764"/>
      <c r="L41" s="764"/>
      <c r="M41" s="764"/>
      <c r="N41" s="764"/>
      <c r="O41" s="764"/>
      <c r="P41" s="764"/>
      <c r="Q41" s="764"/>
      <c r="R41" s="764"/>
      <c r="S41" s="764"/>
    </row>
    <row r="42" spans="1:19">
      <c r="A42" s="777">
        <f t="shared" si="7"/>
        <v>5.1499999999999968</v>
      </c>
      <c r="B42" s="756" t="s">
        <v>845</v>
      </c>
      <c r="C42" s="756">
        <f t="shared" si="16"/>
        <v>-5834237.2800000003</v>
      </c>
      <c r="D42" s="756">
        <f t="shared" si="16"/>
        <v>-5790466.2800000003</v>
      </c>
      <c r="E42" s="764">
        <v>5834237.2800000003</v>
      </c>
      <c r="F42" s="764">
        <v>5790466.2800000003</v>
      </c>
      <c r="G42" s="764">
        <f t="shared" si="14"/>
        <v>0</v>
      </c>
      <c r="H42" s="764"/>
      <c r="I42" s="764"/>
      <c r="J42" s="764"/>
      <c r="K42" s="764"/>
      <c r="L42" s="764"/>
      <c r="M42" s="764"/>
      <c r="N42" s="764"/>
      <c r="O42" s="764"/>
      <c r="P42" s="764"/>
      <c r="Q42" s="764"/>
      <c r="R42" s="764"/>
      <c r="S42" s="764"/>
    </row>
    <row r="43" spans="1:19">
      <c r="A43" s="754"/>
    </row>
    <row r="44" spans="1:19">
      <c r="A44" s="770"/>
      <c r="B44" s="758"/>
      <c r="C44" s="764"/>
      <c r="D44" s="764"/>
      <c r="E44" s="764"/>
      <c r="F44" s="764"/>
      <c r="G44" s="764"/>
      <c r="H44" s="764"/>
      <c r="I44" s="764"/>
      <c r="J44" s="764"/>
      <c r="K44" s="764"/>
      <c r="L44" s="764"/>
      <c r="M44" s="764"/>
      <c r="N44" s="764"/>
      <c r="O44" s="764"/>
      <c r="P44" s="764"/>
      <c r="Q44" s="764"/>
      <c r="R44" s="764"/>
      <c r="S44" s="764"/>
    </row>
    <row r="45" spans="1:19" ht="13.5" thickBot="1">
      <c r="A45" s="770">
        <v>6</v>
      </c>
      <c r="B45" s="754" t="s">
        <v>675</v>
      </c>
      <c r="C45" s="766">
        <f>SUM(C28:C44)</f>
        <v>17528202.299999997</v>
      </c>
      <c r="D45" s="766">
        <f>SUM(D28:D44)</f>
        <v>17086257.129999999</v>
      </c>
      <c r="E45" s="766">
        <f>SUM(E28:E44)</f>
        <v>-13740.109262380749</v>
      </c>
      <c r="F45" s="766">
        <f>SUM(F28:F44)</f>
        <v>3832998.3100000005</v>
      </c>
      <c r="G45" s="766">
        <f>SUM(G28:G44)</f>
        <v>19216860</v>
      </c>
      <c r="H45" s="764"/>
      <c r="I45" s="766">
        <f>SUM(I28:I44)</f>
        <v>0</v>
      </c>
      <c r="J45" s="766">
        <f>SUM(J28:J44)</f>
        <v>19216858.815368805</v>
      </c>
      <c r="K45" s="766">
        <f>SUM(K28:K44)</f>
        <v>0</v>
      </c>
      <c r="L45" s="764"/>
      <c r="M45" s="766">
        <f>SUM(M28:M44)</f>
        <v>0</v>
      </c>
      <c r="N45" s="766">
        <f>SUM(N28:N44)</f>
        <v>17514462.19073762</v>
      </c>
      <c r="O45" s="766">
        <f>SUM(O28:O44)</f>
        <v>0</v>
      </c>
      <c r="P45" s="764"/>
      <c r="Q45" s="766">
        <f>SUM(Q28:Q44)</f>
        <v>0</v>
      </c>
      <c r="R45" s="766">
        <f>SUM(R28:R44)</f>
        <v>20919255.440000001</v>
      </c>
      <c r="S45" s="766">
        <f>SUM(S28:S44)</f>
        <v>0</v>
      </c>
    </row>
    <row r="46" spans="1:19" ht="13.5" thickTop="1">
      <c r="A46" s="770">
        <f>A45+1</f>
        <v>7</v>
      </c>
      <c r="B46" s="758" t="s">
        <v>676</v>
      </c>
      <c r="C46" s="767">
        <v>0</v>
      </c>
      <c r="D46" s="767">
        <v>0</v>
      </c>
      <c r="E46" s="767">
        <v>0</v>
      </c>
      <c r="F46" s="767">
        <v>0</v>
      </c>
      <c r="G46" s="767">
        <v>0</v>
      </c>
      <c r="H46" s="764"/>
      <c r="I46" s="767">
        <v>0</v>
      </c>
      <c r="J46" s="767">
        <v>0</v>
      </c>
      <c r="K46" s="767">
        <v>0</v>
      </c>
      <c r="L46" s="767"/>
      <c r="M46" s="767">
        <v>0</v>
      </c>
      <c r="N46" s="767">
        <v>0</v>
      </c>
      <c r="O46" s="767">
        <v>0</v>
      </c>
      <c r="P46" s="764"/>
      <c r="Q46" s="767">
        <v>0</v>
      </c>
      <c r="R46" s="767">
        <v>0</v>
      </c>
      <c r="S46" s="767">
        <v>0</v>
      </c>
    </row>
    <row r="47" spans="1:19">
      <c r="A47" s="770"/>
      <c r="C47" s="764"/>
      <c r="D47" s="764"/>
      <c r="E47" s="764"/>
      <c r="F47" s="764"/>
      <c r="G47" s="764"/>
      <c r="H47" s="764"/>
      <c r="I47" s="764"/>
      <c r="J47" s="764"/>
      <c r="K47" s="764"/>
      <c r="L47" s="764"/>
      <c r="M47" s="764"/>
      <c r="N47" s="764"/>
      <c r="O47" s="764"/>
      <c r="P47" s="764"/>
      <c r="Q47" s="764"/>
      <c r="R47" s="764"/>
      <c r="S47" s="764"/>
    </row>
    <row r="48" spans="1:19">
      <c r="A48" s="770">
        <v>8</v>
      </c>
      <c r="B48" s="754" t="s">
        <v>677</v>
      </c>
      <c r="C48" s="764" t="s">
        <v>416</v>
      </c>
      <c r="D48" s="764"/>
      <c r="E48" s="764"/>
      <c r="F48" s="764"/>
      <c r="G48" s="764"/>
      <c r="H48" s="764"/>
      <c r="I48" s="764"/>
      <c r="J48" s="764"/>
      <c r="K48" s="764"/>
      <c r="L48" s="764"/>
      <c r="M48" s="764"/>
      <c r="N48" s="764"/>
      <c r="O48" s="764"/>
      <c r="P48" s="764"/>
      <c r="Q48" s="764"/>
      <c r="R48" s="764"/>
      <c r="S48" s="764"/>
    </row>
    <row r="49" spans="1:19">
      <c r="A49" s="770"/>
      <c r="B49" s="758"/>
      <c r="C49" s="764"/>
      <c r="D49" s="764"/>
      <c r="E49" s="764"/>
      <c r="F49" s="764"/>
      <c r="G49" s="764"/>
      <c r="H49" s="764"/>
      <c r="I49" s="764"/>
      <c r="J49" s="764"/>
      <c r="K49" s="764"/>
      <c r="L49" s="764"/>
      <c r="M49" s="764"/>
      <c r="N49" s="764"/>
      <c r="O49" s="764"/>
      <c r="P49" s="764"/>
      <c r="Q49" s="764"/>
      <c r="R49" s="764"/>
      <c r="S49" s="764"/>
    </row>
    <row r="50" spans="1:19">
      <c r="A50" s="777">
        <v>9.01</v>
      </c>
      <c r="B50" s="756" t="s">
        <v>998</v>
      </c>
      <c r="C50" s="764">
        <f t="shared" ref="C50:C52" si="19">SUM(M50:O50)</f>
        <v>-225173.17</v>
      </c>
      <c r="D50" s="764">
        <f t="shared" ref="D50:D52" si="20">SUM(Q50:S50)</f>
        <v>2.83</v>
      </c>
      <c r="E50" s="764"/>
      <c r="F50" s="764"/>
      <c r="G50" s="764">
        <f t="shared" ref="G50:G51" si="21">ROUND(SUM(C50:F50)/2,0)</f>
        <v>-112585</v>
      </c>
      <c r="H50" s="764"/>
      <c r="I50" s="764">
        <f t="shared" ref="I50:I51" si="22">(M50+Q50)/2</f>
        <v>0</v>
      </c>
      <c r="J50" s="764">
        <f t="shared" ref="J50:J51" si="23">(N50+R50)/2</f>
        <v>-112585.17000000001</v>
      </c>
      <c r="K50" s="764">
        <f t="shared" ref="K50:K51" si="24">(O50+S50)/2</f>
        <v>0</v>
      </c>
      <c r="L50" s="764"/>
      <c r="M50" s="756"/>
      <c r="N50" s="756">
        <v>-225173.17</v>
      </c>
      <c r="O50" s="756"/>
      <c r="P50" s="764"/>
      <c r="Q50" s="756"/>
      <c r="R50" s="756">
        <v>2.83</v>
      </c>
      <c r="S50" s="756"/>
    </row>
    <row r="51" spans="1:19">
      <c r="A51" s="777">
        <f t="shared" ref="A51:A58" si="25">A50+0.01</f>
        <v>9.02</v>
      </c>
      <c r="B51" s="756" t="s">
        <v>994</v>
      </c>
      <c r="C51" s="764">
        <f t="shared" si="19"/>
        <v>33233.550000000003</v>
      </c>
      <c r="D51" s="764">
        <f t="shared" si="20"/>
        <v>48379.17</v>
      </c>
      <c r="E51" s="764"/>
      <c r="F51" s="764"/>
      <c r="G51" s="764">
        <f t="shared" si="21"/>
        <v>40806</v>
      </c>
      <c r="H51" s="764"/>
      <c r="I51" s="764">
        <f t="shared" si="22"/>
        <v>0</v>
      </c>
      <c r="J51" s="764">
        <f t="shared" si="23"/>
        <v>40806.36</v>
      </c>
      <c r="K51" s="764">
        <f t="shared" si="24"/>
        <v>0</v>
      </c>
      <c r="L51" s="764"/>
      <c r="M51" s="756"/>
      <c r="N51" s="756">
        <v>33233.550000000003</v>
      </c>
      <c r="O51" s="756"/>
      <c r="P51" s="764"/>
      <c r="Q51" s="756"/>
      <c r="R51" s="756">
        <v>48379.17</v>
      </c>
      <c r="S51" s="756"/>
    </row>
    <row r="52" spans="1:19">
      <c r="A52" s="777">
        <f t="shared" si="25"/>
        <v>9.0299999999999994</v>
      </c>
      <c r="B52" s="1033" t="s">
        <v>917</v>
      </c>
      <c r="C52" s="1033">
        <f t="shared" si="19"/>
        <v>0</v>
      </c>
      <c r="D52" s="1033">
        <f t="shared" si="20"/>
        <v>0</v>
      </c>
      <c r="E52" s="1034"/>
      <c r="F52" s="1034"/>
      <c r="G52" s="1035">
        <f>ROUND(SUM(C52:F52)/2,0)</f>
        <v>0</v>
      </c>
      <c r="H52" s="1035"/>
      <c r="I52" s="1035">
        <f t="shared" ref="I52:K52" si="26">(M52+Q52)/2</f>
        <v>0</v>
      </c>
      <c r="J52" s="1035">
        <f t="shared" si="26"/>
        <v>0</v>
      </c>
      <c r="K52" s="1035">
        <f t="shared" si="26"/>
        <v>0</v>
      </c>
      <c r="L52" s="764"/>
      <c r="M52" s="756"/>
      <c r="N52" s="756"/>
      <c r="O52" s="756"/>
      <c r="P52" s="764"/>
      <c r="Q52" s="756"/>
      <c r="R52" s="756"/>
      <c r="S52" s="756"/>
    </row>
    <row r="53" spans="1:19">
      <c r="A53" s="777">
        <f t="shared" si="25"/>
        <v>9.0399999999999991</v>
      </c>
      <c r="B53" s="1033" t="s">
        <v>918</v>
      </c>
      <c r="C53" s="1033">
        <f>-E53</f>
        <v>0</v>
      </c>
      <c r="D53" s="1033">
        <f>-F53</f>
        <v>0</v>
      </c>
      <c r="E53" s="1034">
        <f>C52</f>
        <v>0</v>
      </c>
      <c r="F53" s="1034">
        <f>D52</f>
        <v>0</v>
      </c>
      <c r="G53" s="1035">
        <f>ROUND(SUM(C53:F53)/2,0)</f>
        <v>0</v>
      </c>
      <c r="H53" s="1035"/>
      <c r="I53" s="764"/>
      <c r="J53" s="764"/>
      <c r="K53" s="764"/>
      <c r="L53" s="764"/>
      <c r="M53" s="756"/>
      <c r="N53" s="756"/>
      <c r="O53" s="756"/>
      <c r="P53" s="764"/>
      <c r="Q53" s="756"/>
      <c r="R53" s="756"/>
      <c r="S53" s="756"/>
    </row>
    <row r="54" spans="1:19">
      <c r="A54" s="777">
        <f t="shared" si="25"/>
        <v>9.0499999999999989</v>
      </c>
      <c r="B54" s="756" t="s">
        <v>846</v>
      </c>
      <c r="C54" s="756">
        <f t="shared" ref="C54:D58" si="27">-E54</f>
        <v>485691.28</v>
      </c>
      <c r="D54" s="756">
        <f t="shared" si="27"/>
        <v>480409.86</v>
      </c>
      <c r="E54" s="764">
        <v>-485691.28</v>
      </c>
      <c r="F54" s="764">
        <v>-480409.86</v>
      </c>
      <c r="G54" s="764">
        <f t="shared" ref="G54:G58" si="28">ROUND(SUM(C54:F54)/2,0)</f>
        <v>0</v>
      </c>
      <c r="H54" s="764"/>
      <c r="I54" s="764"/>
      <c r="J54" s="764"/>
      <c r="K54" s="764"/>
      <c r="L54" s="764"/>
      <c r="M54" s="764"/>
      <c r="N54" s="764"/>
      <c r="O54" s="764"/>
      <c r="P54" s="764"/>
      <c r="Q54" s="764"/>
      <c r="R54" s="764"/>
      <c r="S54" s="764"/>
    </row>
    <row r="55" spans="1:19">
      <c r="A55" s="777">
        <f t="shared" si="25"/>
        <v>9.0599999999999987</v>
      </c>
      <c r="B55" s="756" t="s">
        <v>847</v>
      </c>
      <c r="C55" s="756">
        <f t="shared" si="27"/>
        <v>225173.17</v>
      </c>
      <c r="D55" s="756">
        <f t="shared" si="27"/>
        <v>1209302.8999999999</v>
      </c>
      <c r="E55" s="764">
        <v>-225173.17</v>
      </c>
      <c r="F55" s="764">
        <v>-1209302.8999999999</v>
      </c>
      <c r="G55" s="764">
        <f t="shared" si="28"/>
        <v>0</v>
      </c>
      <c r="H55" s="764"/>
      <c r="I55" s="764"/>
      <c r="J55" s="764"/>
      <c r="K55" s="764"/>
      <c r="L55" s="764"/>
      <c r="M55" s="764"/>
      <c r="N55" s="764"/>
      <c r="O55" s="764"/>
      <c r="P55" s="764"/>
      <c r="Q55" s="764"/>
      <c r="R55" s="764"/>
      <c r="S55" s="764"/>
    </row>
    <row r="56" spans="1:19">
      <c r="A56" s="777">
        <f t="shared" si="25"/>
        <v>9.0699999999999985</v>
      </c>
      <c r="B56" s="756" t="s">
        <v>1049</v>
      </c>
      <c r="C56" s="756">
        <f t="shared" ref="C56" si="29">-E56</f>
        <v>0</v>
      </c>
      <c r="D56" s="756">
        <f t="shared" ref="D56" si="30">-F56</f>
        <v>300532.93</v>
      </c>
      <c r="E56" s="764">
        <v>0</v>
      </c>
      <c r="F56" s="764">
        <v>-300532.93</v>
      </c>
      <c r="G56" s="764">
        <f t="shared" ref="G56" si="31">ROUND(SUM(C56:F56)/2,0)</f>
        <v>0</v>
      </c>
      <c r="H56" s="764"/>
      <c r="I56" s="764"/>
      <c r="J56" s="764"/>
      <c r="K56" s="764"/>
      <c r="L56" s="764"/>
      <c r="M56" s="764"/>
      <c r="N56" s="764"/>
      <c r="O56" s="764"/>
      <c r="P56" s="764"/>
      <c r="Q56" s="764"/>
      <c r="R56" s="764"/>
      <c r="S56" s="764"/>
    </row>
    <row r="57" spans="1:19">
      <c r="A57" s="777">
        <f t="shared" si="25"/>
        <v>9.0799999999999983</v>
      </c>
      <c r="B57" s="756" t="s">
        <v>848</v>
      </c>
      <c r="C57" s="756">
        <f t="shared" si="27"/>
        <v>0</v>
      </c>
      <c r="D57" s="756">
        <f t="shared" si="27"/>
        <v>0</v>
      </c>
      <c r="E57" s="764">
        <v>0</v>
      </c>
      <c r="F57" s="764">
        <v>0</v>
      </c>
      <c r="G57" s="764">
        <f t="shared" si="28"/>
        <v>0</v>
      </c>
      <c r="H57" s="764"/>
      <c r="I57" s="764"/>
      <c r="J57" s="764"/>
      <c r="K57" s="764"/>
      <c r="L57" s="764"/>
      <c r="M57" s="764"/>
      <c r="N57" s="764"/>
      <c r="O57" s="764"/>
      <c r="P57" s="764"/>
      <c r="Q57" s="764"/>
      <c r="R57" s="764"/>
      <c r="S57" s="764"/>
    </row>
    <row r="58" spans="1:19">
      <c r="A58" s="777">
        <f t="shared" si="25"/>
        <v>9.0899999999999981</v>
      </c>
      <c r="B58" s="756" t="s">
        <v>849</v>
      </c>
      <c r="C58" s="756">
        <f t="shared" si="27"/>
        <v>0</v>
      </c>
      <c r="D58" s="756">
        <f t="shared" si="27"/>
        <v>0</v>
      </c>
      <c r="E58" s="764">
        <v>0</v>
      </c>
      <c r="F58" s="764">
        <v>0</v>
      </c>
      <c r="G58" s="764">
        <f t="shared" si="28"/>
        <v>0</v>
      </c>
      <c r="H58" s="764"/>
      <c r="I58" s="764"/>
      <c r="J58" s="764"/>
      <c r="K58" s="764"/>
      <c r="L58" s="764"/>
      <c r="M58" s="764"/>
      <c r="N58" s="764"/>
      <c r="O58" s="764"/>
      <c r="P58" s="764"/>
      <c r="Q58" s="764"/>
      <c r="R58" s="764"/>
      <c r="S58" s="764"/>
    </row>
    <row r="59" spans="1:19">
      <c r="A59" s="770"/>
      <c r="B59" s="758"/>
      <c r="C59" s="764"/>
      <c r="D59" s="764"/>
      <c r="E59" s="764"/>
      <c r="F59" s="764"/>
      <c r="G59" s="764"/>
      <c r="H59" s="764"/>
      <c r="I59" s="764"/>
      <c r="J59" s="764"/>
      <c r="K59" s="764"/>
      <c r="L59" s="764"/>
      <c r="M59" s="764"/>
      <c r="N59" s="764"/>
      <c r="O59" s="764"/>
      <c r="P59" s="764"/>
      <c r="Q59" s="764"/>
      <c r="R59" s="764"/>
      <c r="S59" s="764"/>
    </row>
    <row r="60" spans="1:19">
      <c r="A60" s="770"/>
      <c r="B60" s="758"/>
      <c r="C60" s="764"/>
      <c r="D60" s="764"/>
      <c r="E60" s="764"/>
      <c r="F60" s="764"/>
      <c r="G60" s="764"/>
      <c r="H60" s="764"/>
      <c r="I60" s="764"/>
      <c r="J60" s="764"/>
      <c r="K60" s="764"/>
      <c r="L60" s="764"/>
      <c r="M60" s="764"/>
      <c r="N60" s="764"/>
      <c r="O60" s="764"/>
      <c r="P60" s="764"/>
      <c r="Q60" s="764"/>
      <c r="R60" s="764"/>
      <c r="S60" s="764"/>
    </row>
    <row r="61" spans="1:19" ht="13.5" thickBot="1">
      <c r="A61" s="770">
        <v>10</v>
      </c>
      <c r="C61" s="766">
        <f>SUM(C50:C60)</f>
        <v>518924.83000000007</v>
      </c>
      <c r="D61" s="766">
        <f>SUM(D50:D60)</f>
        <v>2038627.6899999997</v>
      </c>
      <c r="E61" s="766">
        <f>SUM(E50:E60)</f>
        <v>-710864.45000000007</v>
      </c>
      <c r="F61" s="766">
        <f>SUM(F50:F60)</f>
        <v>-1990245.6899999997</v>
      </c>
      <c r="G61" s="766">
        <f>SUM(G50:G60)</f>
        <v>-71779</v>
      </c>
      <c r="H61" s="764"/>
      <c r="I61" s="766">
        <f>SUM(I50:I60)</f>
        <v>0</v>
      </c>
      <c r="J61" s="766">
        <f>SUM(J50:J60)</f>
        <v>-71778.810000000012</v>
      </c>
      <c r="K61" s="766">
        <f>SUM(K50:K60)</f>
        <v>0</v>
      </c>
      <c r="L61" s="764"/>
      <c r="M61" s="766">
        <f>SUM(M50:M60)</f>
        <v>0</v>
      </c>
      <c r="N61" s="766">
        <f>SUM(N50:N60)</f>
        <v>-191939.62</v>
      </c>
      <c r="O61" s="766">
        <f>SUM(O50:O60)</f>
        <v>0</v>
      </c>
      <c r="P61" s="764"/>
      <c r="Q61" s="766">
        <f>SUM(Q50:Q60)</f>
        <v>0</v>
      </c>
      <c r="R61" s="766">
        <f>SUM(R50:R60)</f>
        <v>48382</v>
      </c>
      <c r="S61" s="766">
        <f>SUM(S50:S60)</f>
        <v>0</v>
      </c>
    </row>
    <row r="62" spans="1:19" ht="13.5" thickTop="1">
      <c r="A62" s="770"/>
      <c r="B62" s="758"/>
      <c r="C62" s="767"/>
      <c r="D62" s="767"/>
      <c r="E62" s="767"/>
      <c r="F62" s="767"/>
      <c r="G62" s="767"/>
      <c r="H62" s="764"/>
      <c r="I62" s="767"/>
      <c r="J62" s="767"/>
      <c r="K62" s="767"/>
      <c r="L62" s="764"/>
      <c r="M62" s="767"/>
      <c r="N62" s="767"/>
      <c r="O62" s="767"/>
      <c r="P62" s="764"/>
      <c r="Q62" s="767"/>
      <c r="R62" s="767"/>
      <c r="S62" s="767"/>
    </row>
    <row r="63" spans="1:19">
      <c r="A63" s="770"/>
      <c r="B63" s="758"/>
      <c r="C63" s="764"/>
      <c r="D63" s="764"/>
      <c r="E63" s="764"/>
      <c r="F63" s="764"/>
      <c r="G63" s="764"/>
      <c r="H63" s="764"/>
      <c r="I63" s="764"/>
      <c r="J63" s="764"/>
      <c r="K63" s="764"/>
      <c r="L63" s="764"/>
      <c r="M63" s="764"/>
      <c r="N63" s="764"/>
      <c r="O63" s="764"/>
      <c r="P63" s="764"/>
      <c r="Q63" s="764"/>
      <c r="R63" s="764"/>
      <c r="S63" s="764"/>
    </row>
    <row r="64" spans="1:19">
      <c r="A64" s="770">
        <f>+A61+1</f>
        <v>11</v>
      </c>
      <c r="B64" s="754" t="s">
        <v>678</v>
      </c>
      <c r="C64" s="764">
        <f>SUM(M64:O64)</f>
        <v>3014872.54</v>
      </c>
      <c r="D64" s="764">
        <f>SUM(Q64:S64)</f>
        <v>2950708.3300000005</v>
      </c>
      <c r="E64" s="764"/>
      <c r="F64" s="764"/>
      <c r="G64" s="764">
        <f>ROUND(SUM(C64:F64)/2,0)</f>
        <v>2982790</v>
      </c>
      <c r="H64" s="764"/>
      <c r="I64" s="764">
        <f>(M64+Q64)/2</f>
        <v>0</v>
      </c>
      <c r="J64" s="764">
        <f>(N64+R64)/2</f>
        <v>2982790.4350000005</v>
      </c>
      <c r="K64" s="764">
        <f>(O64+S64)/2</f>
        <v>0</v>
      </c>
      <c r="L64" s="764"/>
      <c r="M64" s="756"/>
      <c r="N64" s="756">
        <v>3014872.54</v>
      </c>
      <c r="O64" s="756"/>
      <c r="P64" s="764"/>
      <c r="Q64" s="756"/>
      <c r="R64" s="756">
        <v>2950708.3300000005</v>
      </c>
      <c r="S64" s="756"/>
    </row>
    <row r="65" spans="1:19">
      <c r="A65" s="784">
        <f>A64+0.01</f>
        <v>11.01</v>
      </c>
      <c r="B65" s="756" t="s">
        <v>856</v>
      </c>
      <c r="C65" s="756">
        <f t="shared" ref="C65" si="32">-E65</f>
        <v>458290.66000000003</v>
      </c>
      <c r="D65" s="756">
        <f t="shared" ref="D65" si="33">-F65</f>
        <v>-54586.400000000001</v>
      </c>
      <c r="E65" s="764">
        <v>-458290.66000000003</v>
      </c>
      <c r="F65" s="764">
        <v>54586.400000000001</v>
      </c>
      <c r="G65" s="764">
        <f t="shared" ref="G65" si="34">ROUND(SUM(C65:F65)/2,0)</f>
        <v>0</v>
      </c>
      <c r="H65" s="764"/>
      <c r="I65" s="764"/>
      <c r="J65" s="764"/>
      <c r="K65" s="764"/>
      <c r="L65" s="764"/>
      <c r="M65" s="1067"/>
      <c r="N65" s="1067"/>
      <c r="O65" s="1067"/>
      <c r="P65" s="764"/>
      <c r="Q65" s="1067"/>
      <c r="R65" s="1067"/>
      <c r="S65" s="1067"/>
    </row>
    <row r="66" spans="1:19">
      <c r="A66" s="770"/>
      <c r="B66" s="758"/>
      <c r="C66" s="764"/>
      <c r="D66" s="764"/>
      <c r="E66" s="764"/>
      <c r="F66" s="764"/>
      <c r="G66" s="764"/>
      <c r="H66" s="764"/>
      <c r="I66" s="764"/>
      <c r="J66" s="764"/>
      <c r="K66" s="764"/>
      <c r="L66" s="764"/>
      <c r="M66" s="764"/>
      <c r="N66" s="764"/>
      <c r="O66" s="764"/>
      <c r="P66" s="764"/>
      <c r="Q66" s="764"/>
      <c r="R66" s="764"/>
      <c r="S66" s="764"/>
    </row>
    <row r="67" spans="1:19" ht="13.5" thickBot="1">
      <c r="A67" s="770">
        <f>+A64+1</f>
        <v>12</v>
      </c>
      <c r="B67" s="754" t="s">
        <v>679</v>
      </c>
      <c r="C67" s="766">
        <f>SUM(C61:C66)</f>
        <v>3992088.0300000003</v>
      </c>
      <c r="D67" s="766">
        <f>SUM(D61:D66)</f>
        <v>4934749.62</v>
      </c>
      <c r="E67" s="766">
        <f>SUM(E61:E66)</f>
        <v>-1169155.1100000001</v>
      </c>
      <c r="F67" s="766">
        <f>SUM(F61:F66)</f>
        <v>-1935659.2899999998</v>
      </c>
      <c r="G67" s="766">
        <f>SUM(G61:G66)</f>
        <v>2911011</v>
      </c>
      <c r="H67" s="764"/>
      <c r="I67" s="766">
        <f>SUM(I61:I66)</f>
        <v>0</v>
      </c>
      <c r="J67" s="766">
        <f>SUM(J61:J66)</f>
        <v>2911011.6250000005</v>
      </c>
      <c r="K67" s="766">
        <f>SUM(K61:K66)</f>
        <v>0</v>
      </c>
      <c r="L67" s="764"/>
      <c r="M67" s="768">
        <f>SUM(M61:M66)</f>
        <v>0</v>
      </c>
      <c r="N67" s="768">
        <f>SUM(N61:N66)</f>
        <v>2822932.92</v>
      </c>
      <c r="O67" s="768">
        <f>SUM(O61:O66)</f>
        <v>0</v>
      </c>
      <c r="P67" s="764"/>
      <c r="Q67" s="766">
        <f>SUM(Q61:Q66)</f>
        <v>0</v>
      </c>
      <c r="R67" s="766">
        <f>SUM(R61:R66)</f>
        <v>2999090.3300000005</v>
      </c>
      <c r="S67" s="766">
        <f>SUM(S61:S66)</f>
        <v>0</v>
      </c>
    </row>
    <row r="68" spans="1:19" ht="13.5" thickTop="1">
      <c r="A68" s="770">
        <f>A67+1</f>
        <v>13</v>
      </c>
      <c r="B68" s="758" t="s">
        <v>680</v>
      </c>
      <c r="C68" s="767">
        <v>0</v>
      </c>
      <c r="D68" s="767">
        <v>0</v>
      </c>
      <c r="E68" s="767">
        <v>0</v>
      </c>
      <c r="F68" s="767">
        <v>0</v>
      </c>
      <c r="G68" s="767">
        <v>0</v>
      </c>
      <c r="H68" s="764"/>
      <c r="I68" s="767">
        <v>0</v>
      </c>
      <c r="J68" s="767">
        <v>0</v>
      </c>
      <c r="K68" s="767">
        <v>0</v>
      </c>
      <c r="L68" s="764"/>
      <c r="M68" s="767">
        <v>0</v>
      </c>
      <c r="N68" s="767">
        <v>0</v>
      </c>
      <c r="O68" s="767">
        <v>0</v>
      </c>
      <c r="P68" s="764"/>
      <c r="Q68" s="767">
        <v>0</v>
      </c>
      <c r="R68" s="767">
        <v>0</v>
      </c>
      <c r="S68" s="767">
        <v>0</v>
      </c>
    </row>
    <row r="69" spans="1:19">
      <c r="A69" s="770"/>
      <c r="B69" s="758"/>
      <c r="C69" s="764"/>
      <c r="D69" s="764"/>
      <c r="E69" s="764"/>
      <c r="F69" s="764"/>
      <c r="G69" s="764"/>
      <c r="H69" s="764"/>
      <c r="I69" s="764"/>
      <c r="J69" s="764"/>
      <c r="K69" s="764"/>
      <c r="L69" s="764"/>
      <c r="M69" s="764"/>
      <c r="N69" s="764"/>
      <c r="O69" s="764"/>
      <c r="P69" s="764"/>
      <c r="Q69" s="764"/>
      <c r="R69" s="764"/>
      <c r="S69" s="764"/>
    </row>
    <row r="70" spans="1:19">
      <c r="A70" s="770">
        <f>+A68+1</f>
        <v>14</v>
      </c>
      <c r="B70" s="754" t="s">
        <v>681</v>
      </c>
      <c r="C70" s="764"/>
      <c r="D70" s="764"/>
      <c r="E70" s="764"/>
      <c r="F70" s="764"/>
      <c r="G70" s="764"/>
      <c r="H70" s="764"/>
      <c r="I70" s="764"/>
      <c r="J70" s="764"/>
      <c r="K70" s="764"/>
      <c r="L70" s="764"/>
      <c r="M70" s="764"/>
      <c r="N70" s="764"/>
      <c r="O70" s="764"/>
      <c r="P70" s="764"/>
      <c r="Q70" s="764"/>
      <c r="R70" s="764"/>
      <c r="S70" s="764"/>
    </row>
    <row r="71" spans="1:19">
      <c r="A71" s="770"/>
      <c r="B71" s="758"/>
      <c r="C71" s="764"/>
      <c r="D71" s="764"/>
      <c r="E71" s="764"/>
      <c r="F71" s="764"/>
      <c r="G71" s="764"/>
      <c r="H71" s="764"/>
      <c r="I71" s="764"/>
      <c r="J71" s="764"/>
      <c r="K71" s="764"/>
      <c r="L71" s="764"/>
      <c r="M71" s="764"/>
      <c r="N71" s="764"/>
      <c r="O71" s="764"/>
      <c r="P71" s="764"/>
      <c r="Q71" s="764"/>
      <c r="R71" s="764"/>
      <c r="S71" s="764"/>
    </row>
    <row r="72" spans="1:19">
      <c r="A72" s="770">
        <f>+A70+1</f>
        <v>15</v>
      </c>
      <c r="B72" s="754" t="s">
        <v>682</v>
      </c>
      <c r="C72" s="764"/>
      <c r="D72" s="764"/>
      <c r="E72" s="764"/>
      <c r="F72" s="764"/>
      <c r="G72" s="764"/>
      <c r="H72" s="764"/>
      <c r="I72" s="764"/>
      <c r="J72" s="764"/>
      <c r="K72" s="764"/>
      <c r="L72" s="764"/>
      <c r="M72" s="764"/>
      <c r="N72" s="764"/>
      <c r="O72" s="764"/>
      <c r="P72" s="764"/>
      <c r="Q72" s="764"/>
      <c r="R72" s="764"/>
      <c r="S72" s="764"/>
    </row>
    <row r="73" spans="1:19">
      <c r="A73" s="770"/>
      <c r="B73" s="758"/>
      <c r="C73" s="764"/>
      <c r="D73" s="764"/>
      <c r="E73" s="764"/>
      <c r="F73" s="764"/>
      <c r="G73" s="764"/>
      <c r="H73" s="764"/>
      <c r="I73" s="764"/>
      <c r="J73" s="764"/>
      <c r="K73" s="764"/>
      <c r="L73" s="764"/>
      <c r="M73" s="764"/>
      <c r="N73" s="764"/>
      <c r="O73" s="764"/>
      <c r="P73" s="764"/>
      <c r="Q73" s="764"/>
      <c r="R73" s="764"/>
      <c r="S73" s="764"/>
    </row>
    <row r="74" spans="1:19">
      <c r="A74" s="770">
        <f>+A72+1</f>
        <v>16</v>
      </c>
      <c r="B74" s="754" t="s">
        <v>683</v>
      </c>
      <c r="C74" s="764"/>
      <c r="D74" s="764"/>
      <c r="E74" s="764"/>
      <c r="F74" s="764"/>
      <c r="G74" s="764"/>
      <c r="H74" s="764"/>
      <c r="I74" s="764"/>
      <c r="J74" s="764"/>
      <c r="K74" s="764"/>
      <c r="L74" s="764"/>
      <c r="M74" s="764"/>
      <c r="N74" s="764"/>
      <c r="O74" s="764"/>
      <c r="P74" s="764"/>
      <c r="Q74" s="764"/>
      <c r="R74" s="764"/>
      <c r="S74" s="764"/>
    </row>
    <row r="75" spans="1:19">
      <c r="A75" s="770"/>
      <c r="B75" s="758"/>
      <c r="C75" s="764"/>
      <c r="D75" s="764"/>
      <c r="E75" s="764"/>
      <c r="F75" s="764"/>
      <c r="G75" s="764"/>
      <c r="H75" s="764"/>
      <c r="I75" s="764"/>
      <c r="J75" s="764"/>
      <c r="K75" s="764"/>
      <c r="L75" s="764"/>
      <c r="M75" s="764"/>
      <c r="N75" s="764"/>
      <c r="O75" s="764"/>
      <c r="P75" s="764"/>
      <c r="Q75" s="764"/>
      <c r="R75" s="764"/>
      <c r="S75" s="764"/>
    </row>
    <row r="76" spans="1:19">
      <c r="A76" s="770">
        <f>+A74+1</f>
        <v>17</v>
      </c>
      <c r="B76" s="754" t="s">
        <v>684</v>
      </c>
      <c r="C76" s="764"/>
      <c r="D76" s="764"/>
      <c r="E76" s="764"/>
      <c r="F76" s="764"/>
      <c r="G76" s="764"/>
      <c r="H76" s="764"/>
      <c r="I76" s="764"/>
      <c r="J76" s="764"/>
      <c r="K76" s="764"/>
      <c r="L76" s="764"/>
      <c r="M76" s="764"/>
      <c r="N76" s="764"/>
      <c r="O76" s="764"/>
      <c r="P76" s="764"/>
      <c r="Q76" s="764"/>
      <c r="R76" s="764"/>
      <c r="S76" s="764"/>
    </row>
    <row r="77" spans="1:19">
      <c r="A77" s="770">
        <f>A76+1</f>
        <v>18</v>
      </c>
      <c r="B77" s="754" t="s">
        <v>685</v>
      </c>
      <c r="C77" s="764"/>
      <c r="D77" s="764"/>
      <c r="E77" s="764"/>
      <c r="F77" s="764"/>
      <c r="G77" s="764"/>
      <c r="H77" s="764"/>
      <c r="I77" s="764"/>
      <c r="J77" s="764"/>
      <c r="K77" s="764"/>
      <c r="L77" s="764"/>
      <c r="M77" s="764"/>
      <c r="N77" s="764"/>
      <c r="O77" s="764"/>
      <c r="P77" s="764"/>
      <c r="Q77" s="1067"/>
      <c r="R77" s="764"/>
      <c r="S77" s="764"/>
    </row>
    <row r="78" spans="1:19">
      <c r="A78" s="784">
        <f>A77+0.01</f>
        <v>18.010000000000002</v>
      </c>
      <c r="B78" s="756"/>
      <c r="C78" s="764">
        <f>SUM(M78:O78)</f>
        <v>0</v>
      </c>
      <c r="D78" s="764">
        <f>SUM(Q78:S78)</f>
        <v>0</v>
      </c>
      <c r="E78" s="764"/>
      <c r="F78" s="764"/>
      <c r="G78" s="764">
        <f>ROUND(SUM(C78:F78)/2,0)</f>
        <v>0</v>
      </c>
      <c r="H78" s="764"/>
      <c r="I78" s="764">
        <f t="shared" ref="I78:K79" si="35">(M78+Q78)/2</f>
        <v>0</v>
      </c>
      <c r="J78" s="764">
        <f t="shared" si="35"/>
        <v>0</v>
      </c>
      <c r="K78" s="764">
        <f t="shared" si="35"/>
        <v>0</v>
      </c>
      <c r="L78" s="764"/>
      <c r="M78" s="756"/>
      <c r="N78" s="756"/>
      <c r="O78" s="756"/>
      <c r="P78" s="764"/>
      <c r="Q78" s="756"/>
      <c r="R78" s="756"/>
      <c r="S78" s="756"/>
    </row>
    <row r="79" spans="1:19">
      <c r="A79" s="784">
        <f>A78+0.01</f>
        <v>18.020000000000003</v>
      </c>
      <c r="B79" s="756"/>
      <c r="C79" s="764">
        <f>SUM(M79:O79)</f>
        <v>0</v>
      </c>
      <c r="D79" s="764">
        <f>SUM(Q79:S79)</f>
        <v>0</v>
      </c>
      <c r="E79" s="764"/>
      <c r="F79" s="764"/>
      <c r="G79" s="764">
        <f>ROUND(SUM(C79:F79)/2,0)</f>
        <v>0</v>
      </c>
      <c r="H79" s="764"/>
      <c r="I79" s="764">
        <f t="shared" si="35"/>
        <v>0</v>
      </c>
      <c r="J79" s="764">
        <f t="shared" si="35"/>
        <v>0</v>
      </c>
      <c r="K79" s="764">
        <f t="shared" si="35"/>
        <v>0</v>
      </c>
      <c r="L79" s="764"/>
      <c r="M79" s="756"/>
      <c r="N79" s="756"/>
      <c r="O79" s="756"/>
      <c r="P79" s="764"/>
      <c r="Q79" s="756"/>
      <c r="R79" s="756"/>
      <c r="S79" s="756"/>
    </row>
    <row r="80" spans="1:19">
      <c r="A80" s="770">
        <f>INT(A79)+1</f>
        <v>19</v>
      </c>
      <c r="C80" s="764"/>
      <c r="D80" s="764"/>
      <c r="E80" s="764"/>
      <c r="F80" s="764"/>
      <c r="G80" s="764"/>
      <c r="H80" s="764"/>
      <c r="I80" s="764"/>
      <c r="J80" s="764"/>
      <c r="K80" s="764"/>
      <c r="L80" s="764"/>
      <c r="M80" s="764"/>
      <c r="N80" s="764"/>
      <c r="O80" s="764"/>
      <c r="P80" s="764"/>
      <c r="Q80" s="764"/>
      <c r="R80" s="764"/>
      <c r="S80" s="764"/>
    </row>
    <row r="81" spans="1:19">
      <c r="A81" s="770">
        <f>A80+1</f>
        <v>20</v>
      </c>
      <c r="B81" s="754" t="s">
        <v>686</v>
      </c>
      <c r="C81" s="766">
        <f>SUM(C78:C80)</f>
        <v>0</v>
      </c>
      <c r="D81" s="766">
        <f>SUM(D78:D80)</f>
        <v>0</v>
      </c>
      <c r="E81" s="766">
        <f>SUM(E78:E80)</f>
        <v>0</v>
      </c>
      <c r="F81" s="766">
        <f>SUM(F78:F80)</f>
        <v>0</v>
      </c>
      <c r="G81" s="766">
        <f>SUM(G78:G80)</f>
        <v>0</v>
      </c>
      <c r="H81" s="764"/>
      <c r="I81" s="766">
        <f>SUM(I78:I80)</f>
        <v>0</v>
      </c>
      <c r="J81" s="766">
        <f>SUM(J78:J80)</f>
        <v>0</v>
      </c>
      <c r="K81" s="766">
        <f>SUM(K78:K80)</f>
        <v>0</v>
      </c>
      <c r="L81" s="764"/>
      <c r="M81" s="766">
        <f>SUM(M78:M80)</f>
        <v>0</v>
      </c>
      <c r="N81" s="766">
        <f>SUM(N78:N80)</f>
        <v>0</v>
      </c>
      <c r="O81" s="766">
        <f>SUM(O78:O80)</f>
        <v>0</v>
      </c>
      <c r="P81" s="764"/>
      <c r="Q81" s="766">
        <f>SUM(Q78:Q80)</f>
        <v>0</v>
      </c>
      <c r="R81" s="766">
        <f>SUM(R78:R80)</f>
        <v>0</v>
      </c>
      <c r="S81" s="766">
        <f>SUM(S78:S80)</f>
        <v>0</v>
      </c>
    </row>
  </sheetData>
  <pageMargins left="0.7" right="0.7" top="0.75" bottom="0.75" header="0.3" footer="0.3"/>
  <pageSetup scale="31" orientation="landscape" r:id="rId1"/>
  <rowBreaks count="1" manualBreakCount="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V48"/>
  <sheetViews>
    <sheetView tabSelected="1" view="pageBreakPreview" topLeftCell="A5" zoomScale="85" zoomScaleNormal="100" zoomScaleSheetLayoutView="85" workbookViewId="0">
      <selection activeCell="B7" sqref="B7"/>
    </sheetView>
  </sheetViews>
  <sheetFormatPr defaultRowHeight="12.75"/>
  <cols>
    <col min="1" max="1" width="6" style="754" customWidth="1"/>
    <col min="2" max="2" width="54.5703125" style="754" bestFit="1" customWidth="1"/>
    <col min="3" max="3" width="13.42578125" style="754" bestFit="1" customWidth="1"/>
    <col min="4" max="4" width="12.85546875" style="754" bestFit="1" customWidth="1"/>
    <col min="5" max="6" width="17" style="754" customWidth="1"/>
    <col min="7" max="7" width="15.28515625" style="754" bestFit="1" customWidth="1"/>
    <col min="8" max="8" width="9.140625" style="754"/>
    <col min="9" max="9" width="13.140625" style="754" bestFit="1" customWidth="1"/>
    <col min="10" max="10" width="15" style="754" bestFit="1" customWidth="1"/>
    <col min="11" max="11" width="13.5703125" style="754" bestFit="1" customWidth="1"/>
    <col min="12" max="12" width="9.140625" style="754"/>
    <col min="13" max="13" width="13.140625" style="754" bestFit="1" customWidth="1"/>
    <col min="14" max="14" width="15" style="754" bestFit="1" customWidth="1"/>
    <col min="15" max="15" width="13.5703125" style="754" bestFit="1" customWidth="1"/>
    <col min="16" max="16" width="9.140625" style="754"/>
    <col min="17" max="17" width="13.140625" style="754" bestFit="1" customWidth="1"/>
    <col min="18" max="18" width="15" style="754" bestFit="1" customWidth="1"/>
    <col min="19" max="19" width="13.5703125" style="754" bestFit="1" customWidth="1"/>
    <col min="20" max="16384" width="9.140625" style="754"/>
  </cols>
  <sheetData>
    <row r="1" spans="1:19">
      <c r="A1" s="771"/>
      <c r="B1" s="783" t="str">
        <f>TCOS!F9</f>
        <v>AEP Kentucky Transmission Company</v>
      </c>
      <c r="C1" s="758"/>
      <c r="D1" s="758"/>
      <c r="E1" s="758"/>
      <c r="F1" s="758"/>
      <c r="M1" s="758"/>
      <c r="N1" s="758"/>
      <c r="P1" s="758"/>
      <c r="Q1" s="758"/>
      <c r="R1" s="758"/>
    </row>
    <row r="2" spans="1:19">
      <c r="A2" s="771"/>
      <c r="B2" s="757" t="s">
        <v>687</v>
      </c>
      <c r="C2" s="758"/>
      <c r="D2" s="758"/>
      <c r="E2" s="758"/>
      <c r="F2" s="758"/>
      <c r="M2" s="758"/>
      <c r="N2" s="758"/>
      <c r="P2" s="758"/>
      <c r="Q2" s="758"/>
      <c r="R2" s="758"/>
    </row>
    <row r="3" spans="1:19">
      <c r="A3" s="771"/>
      <c r="B3" s="757" t="str">
        <f>"PERIOD ENDED DECEMBER 31, "&amp;TCOS!L4</f>
        <v>PERIOD ENDED DECEMBER 31, 2025</v>
      </c>
      <c r="C3" s="758"/>
      <c r="D3" s="758"/>
      <c r="E3" s="758"/>
      <c r="F3" s="758"/>
      <c r="G3" s="758"/>
      <c r="H3" s="758"/>
      <c r="I3" s="758"/>
      <c r="J3" s="758"/>
      <c r="K3" s="758"/>
      <c r="L3" s="758"/>
      <c r="M3" s="758"/>
      <c r="N3" s="758"/>
      <c r="O3" s="758"/>
      <c r="P3" s="758"/>
      <c r="Q3" s="758"/>
      <c r="R3" s="758"/>
      <c r="S3" s="758"/>
    </row>
    <row r="4" spans="1:19">
      <c r="A4" s="771"/>
      <c r="B4" s="763"/>
      <c r="C4" s="758"/>
      <c r="D4" s="758"/>
      <c r="E4" s="758"/>
      <c r="F4" s="758"/>
      <c r="G4" s="755" t="s">
        <v>688</v>
      </c>
      <c r="H4" s="758"/>
      <c r="I4" s="758"/>
      <c r="J4" s="758"/>
      <c r="K4" s="758"/>
      <c r="L4" s="758"/>
      <c r="M4" s="758"/>
      <c r="N4" s="758"/>
      <c r="O4" s="758"/>
      <c r="P4" s="758"/>
      <c r="Q4" s="758"/>
      <c r="R4" s="758"/>
      <c r="S4" s="758"/>
    </row>
    <row r="5" spans="1:19">
      <c r="A5" s="771"/>
      <c r="B5" s="758"/>
      <c r="C5" s="758"/>
      <c r="D5" s="758"/>
      <c r="E5" s="758"/>
      <c r="F5" s="758"/>
      <c r="G5" s="758"/>
      <c r="H5" s="758"/>
      <c r="I5" s="758"/>
      <c r="J5" s="758"/>
      <c r="K5" s="758"/>
      <c r="L5" s="758"/>
      <c r="M5" s="758"/>
      <c r="N5" s="758"/>
      <c r="O5" s="758"/>
      <c r="P5" s="758"/>
      <c r="Q5" s="758"/>
      <c r="R5" s="758"/>
      <c r="S5" s="758"/>
    </row>
    <row r="6" spans="1:19">
      <c r="A6" s="771"/>
      <c r="B6" s="758"/>
      <c r="C6" s="758"/>
      <c r="D6" s="758"/>
      <c r="E6" s="758"/>
      <c r="F6" s="758"/>
      <c r="G6" s="758"/>
      <c r="H6" s="755"/>
      <c r="I6" s="755"/>
      <c r="J6" s="755"/>
      <c r="K6" s="755"/>
      <c r="L6" s="755"/>
      <c r="M6" s="758"/>
      <c r="N6" s="758"/>
      <c r="O6" s="758"/>
      <c r="P6" s="758"/>
      <c r="Q6" s="758"/>
      <c r="R6" s="758"/>
      <c r="S6" s="758"/>
    </row>
    <row r="7" spans="1:19">
      <c r="A7" s="771"/>
      <c r="B7" s="758"/>
      <c r="C7" s="758"/>
      <c r="D7" s="758"/>
      <c r="E7" s="758"/>
      <c r="F7" s="758"/>
      <c r="G7" s="758"/>
      <c r="H7" s="758"/>
      <c r="I7" s="758"/>
      <c r="J7" s="758"/>
      <c r="K7" s="758"/>
      <c r="L7" s="758"/>
      <c r="M7" s="758"/>
      <c r="N7" s="758"/>
      <c r="O7" s="758"/>
      <c r="P7" s="758"/>
      <c r="Q7" s="758"/>
      <c r="R7" s="758"/>
      <c r="S7" s="758"/>
    </row>
    <row r="8" spans="1:19">
      <c r="A8" s="771"/>
      <c r="B8" s="759" t="s">
        <v>644</v>
      </c>
      <c r="C8" s="759" t="s">
        <v>645</v>
      </c>
      <c r="D8" s="759" t="s">
        <v>646</v>
      </c>
      <c r="E8" s="759" t="s">
        <v>647</v>
      </c>
      <c r="F8" s="759" t="s">
        <v>648</v>
      </c>
      <c r="G8" s="759" t="s">
        <v>649</v>
      </c>
      <c r="H8" s="759"/>
      <c r="I8" s="759" t="s">
        <v>650</v>
      </c>
      <c r="J8" s="759" t="s">
        <v>651</v>
      </c>
      <c r="K8" s="759" t="s">
        <v>652</v>
      </c>
      <c r="L8" s="759"/>
      <c r="M8" s="759" t="s">
        <v>653</v>
      </c>
      <c r="N8" s="759" t="s">
        <v>654</v>
      </c>
      <c r="O8" s="759" t="s">
        <v>655</v>
      </c>
      <c r="P8" s="758"/>
      <c r="Q8" s="759" t="s">
        <v>656</v>
      </c>
      <c r="R8" s="759" t="s">
        <v>657</v>
      </c>
      <c r="S8" s="759" t="s">
        <v>658</v>
      </c>
    </row>
    <row r="9" spans="1:19">
      <c r="A9" s="771"/>
      <c r="B9" s="758"/>
      <c r="C9" s="758"/>
      <c r="D9" s="758"/>
      <c r="E9" s="758"/>
      <c r="F9" s="758"/>
      <c r="G9" s="758"/>
      <c r="H9" s="758"/>
      <c r="I9" s="758"/>
      <c r="J9" s="758"/>
      <c r="K9" s="758"/>
      <c r="L9" s="758"/>
      <c r="M9" s="758"/>
      <c r="N9" s="758"/>
      <c r="O9" s="758"/>
      <c r="P9" s="758"/>
      <c r="Q9" s="758"/>
      <c r="R9" s="758"/>
      <c r="S9" s="758"/>
    </row>
    <row r="10" spans="1:19">
      <c r="A10" s="771"/>
      <c r="B10" s="758"/>
      <c r="C10" s="760" t="s">
        <v>659</v>
      </c>
      <c r="D10" s="760"/>
      <c r="E10" s="761" t="s">
        <v>660</v>
      </c>
      <c r="F10" s="760"/>
      <c r="G10" s="755" t="s">
        <v>661</v>
      </c>
      <c r="H10" s="755"/>
      <c r="I10" s="760" t="s">
        <v>662</v>
      </c>
      <c r="J10" s="760"/>
      <c r="K10" s="760"/>
      <c r="L10" s="755"/>
      <c r="M10" s="760" t="str">
        <f>"FUNCTIONALIZATION 12/31/"&amp;TCOS!L4-1</f>
        <v>FUNCTIONALIZATION 12/31/2024</v>
      </c>
      <c r="N10" s="760"/>
      <c r="O10" s="760"/>
      <c r="P10" s="758"/>
      <c r="Q10" s="760" t="str">
        <f>"FUNCTIONALIZATION 12/31/"&amp;TCOS!L4</f>
        <v>FUNCTIONALIZATION 12/31/2025</v>
      </c>
      <c r="R10" s="760"/>
      <c r="S10" s="760"/>
    </row>
    <row r="11" spans="1:19">
      <c r="A11" s="771"/>
      <c r="B11" s="758"/>
      <c r="C11" s="762"/>
      <c r="D11" s="762"/>
      <c r="E11" s="758"/>
      <c r="F11" s="758"/>
      <c r="G11" s="755" t="s">
        <v>663</v>
      </c>
      <c r="H11" s="755"/>
      <c r="I11" s="762"/>
      <c r="J11" s="762"/>
      <c r="K11" s="762"/>
      <c r="L11" s="755"/>
      <c r="M11" s="762"/>
      <c r="N11" s="762"/>
      <c r="O11" s="762"/>
      <c r="P11" s="758"/>
      <c r="Q11" s="762"/>
      <c r="R11" s="762"/>
      <c r="S11" s="762"/>
    </row>
    <row r="12" spans="1:19">
      <c r="A12" s="771"/>
      <c r="B12" s="758"/>
      <c r="C12" s="755" t="s">
        <v>664</v>
      </c>
      <c r="D12" s="755" t="s">
        <v>664</v>
      </c>
      <c r="E12" s="755" t="s">
        <v>664</v>
      </c>
      <c r="F12" s="755" t="s">
        <v>664</v>
      </c>
      <c r="G12" s="755" t="s">
        <v>665</v>
      </c>
      <c r="H12" s="755"/>
      <c r="I12" s="758"/>
      <c r="J12" s="758"/>
      <c r="K12" s="758"/>
      <c r="L12" s="755"/>
      <c r="M12" s="758"/>
      <c r="N12" s="758"/>
      <c r="O12" s="758"/>
      <c r="P12" s="758"/>
      <c r="Q12" s="758"/>
      <c r="R12" s="758"/>
      <c r="S12" s="758"/>
    </row>
    <row r="13" spans="1:19">
      <c r="A13" s="771"/>
      <c r="B13" s="759" t="s">
        <v>666</v>
      </c>
      <c r="C13" s="759" t="str">
        <f>"OF 12-31-"&amp;TCOS!L4-1</f>
        <v>OF 12-31-2024</v>
      </c>
      <c r="D13" s="759" t="str">
        <f>"OF 12-31-"&amp;TCOS!L4</f>
        <v>OF 12-31-2025</v>
      </c>
      <c r="E13" s="759" t="str">
        <f>"OF 12-31-"&amp;TCOS!L4-1</f>
        <v>OF 12-31-2024</v>
      </c>
      <c r="F13" s="759" t="str">
        <f>"OF 12-31-"&amp;TCOS!L4</f>
        <v>OF 12-31-2025</v>
      </c>
      <c r="G13" s="759" t="s">
        <v>667</v>
      </c>
      <c r="H13" s="759"/>
      <c r="I13" s="759" t="s">
        <v>668</v>
      </c>
      <c r="J13" s="759" t="s">
        <v>669</v>
      </c>
      <c r="K13" s="759" t="s">
        <v>670</v>
      </c>
      <c r="L13" s="759"/>
      <c r="M13" s="759" t="s">
        <v>668</v>
      </c>
      <c r="N13" s="759" t="s">
        <v>669</v>
      </c>
      <c r="O13" s="759" t="s">
        <v>670</v>
      </c>
      <c r="P13" s="758"/>
      <c r="Q13" s="759" t="s">
        <v>668</v>
      </c>
      <c r="R13" s="759" t="s">
        <v>669</v>
      </c>
      <c r="S13" s="759" t="s">
        <v>670</v>
      </c>
    </row>
    <row r="14" spans="1:19">
      <c r="A14" s="771"/>
      <c r="B14" s="758"/>
      <c r="C14" s="758"/>
      <c r="D14" s="758"/>
      <c r="E14" s="758"/>
      <c r="F14" s="758"/>
      <c r="G14" s="758"/>
      <c r="H14" s="758"/>
      <c r="I14" s="758"/>
      <c r="J14" s="758"/>
      <c r="K14" s="758"/>
      <c r="L14" s="758"/>
      <c r="M14" s="758"/>
      <c r="N14" s="758"/>
      <c r="O14" s="758"/>
      <c r="P14" s="758"/>
      <c r="Q14" s="758"/>
      <c r="R14" s="758"/>
      <c r="S14" s="758"/>
    </row>
    <row r="15" spans="1:19">
      <c r="A15" s="772">
        <v>1</v>
      </c>
      <c r="B15" s="764" t="s">
        <v>689</v>
      </c>
      <c r="C15" s="764"/>
      <c r="D15" s="764"/>
      <c r="E15" s="764"/>
      <c r="F15" s="765"/>
      <c r="G15" s="764"/>
      <c r="H15" s="764"/>
      <c r="I15" s="764"/>
      <c r="J15" s="764"/>
      <c r="K15" s="764"/>
      <c r="L15" s="764"/>
      <c r="M15" s="764"/>
      <c r="N15" s="764"/>
      <c r="O15" s="764"/>
      <c r="P15" s="764"/>
      <c r="Q15" s="764"/>
      <c r="R15" s="764"/>
      <c r="S15" s="764"/>
    </row>
    <row r="16" spans="1:19">
      <c r="A16" s="772"/>
      <c r="B16" s="764"/>
      <c r="C16" s="764"/>
      <c r="D16" s="764"/>
      <c r="E16" s="764"/>
      <c r="F16" s="764"/>
      <c r="G16" s="764"/>
      <c r="H16" s="764"/>
      <c r="I16" s="764"/>
      <c r="J16" s="764"/>
      <c r="K16" s="764"/>
      <c r="L16" s="764"/>
      <c r="M16" s="764"/>
      <c r="N16" s="764"/>
      <c r="O16" s="764"/>
      <c r="P16" s="764"/>
      <c r="Q16" s="764"/>
      <c r="R16" s="764"/>
      <c r="S16" s="764"/>
    </row>
    <row r="17" spans="1:19">
      <c r="A17" s="777">
        <v>2.0099999999999998</v>
      </c>
      <c r="B17" s="756" t="s">
        <v>1055</v>
      </c>
      <c r="C17" s="764">
        <f t="shared" ref="C17:C34" si="0">SUM(M17:O17)</f>
        <v>0</v>
      </c>
      <c r="D17" s="764">
        <f t="shared" ref="D17:D34" si="1">SUM(Q17:S17)</f>
        <v>4399187</v>
      </c>
      <c r="E17" s="764"/>
      <c r="F17" s="764"/>
      <c r="G17" s="764">
        <f t="shared" ref="G17:G34" si="2">ROUND(SUM(C17:F17)/2,0)</f>
        <v>2199594</v>
      </c>
      <c r="H17" s="764"/>
      <c r="I17" s="764">
        <f t="shared" ref="I17:I34" si="3">(M17+Q17)/2</f>
        <v>0</v>
      </c>
      <c r="J17" s="764">
        <f t="shared" ref="J17:J34" si="4">(N17+R17)/2</f>
        <v>2199593.5</v>
      </c>
      <c r="K17" s="764">
        <f t="shared" ref="K17:K34" si="5">(O17+S17)/2</f>
        <v>0</v>
      </c>
      <c r="L17" s="764"/>
      <c r="M17" s="756"/>
      <c r="N17" s="756">
        <v>0</v>
      </c>
      <c r="O17" s="756"/>
      <c r="P17" s="764"/>
      <c r="Q17" s="756"/>
      <c r="R17" s="756">
        <v>4399187</v>
      </c>
      <c r="S17" s="756"/>
    </row>
    <row r="18" spans="1:19">
      <c r="A18" s="777">
        <f t="shared" ref="A18:A44" si="6">A17+0.01</f>
        <v>2.0199999999999996</v>
      </c>
      <c r="B18" s="756" t="s">
        <v>1056</v>
      </c>
      <c r="C18" s="764">
        <f t="shared" si="0"/>
        <v>0</v>
      </c>
      <c r="D18" s="764">
        <f t="shared" si="1"/>
        <v>150106</v>
      </c>
      <c r="E18" s="764"/>
      <c r="F18" s="764"/>
      <c r="G18" s="764">
        <f t="shared" si="2"/>
        <v>75053</v>
      </c>
      <c r="H18" s="764"/>
      <c r="I18" s="764">
        <f t="shared" si="3"/>
        <v>0</v>
      </c>
      <c r="J18" s="764">
        <f t="shared" si="4"/>
        <v>75053</v>
      </c>
      <c r="K18" s="764">
        <f t="shared" si="5"/>
        <v>0</v>
      </c>
      <c r="L18" s="764"/>
      <c r="M18" s="756"/>
      <c r="N18" s="756">
        <v>0</v>
      </c>
      <c r="O18" s="756"/>
      <c r="P18" s="764"/>
      <c r="Q18" s="756"/>
      <c r="R18" s="756">
        <v>150106</v>
      </c>
      <c r="S18" s="756"/>
    </row>
    <row r="19" spans="1:19">
      <c r="A19" s="777">
        <f t="shared" si="6"/>
        <v>2.0299999999999994</v>
      </c>
      <c r="B19" s="756" t="s">
        <v>982</v>
      </c>
      <c r="C19" s="764">
        <f t="shared" ref="C19:C20" si="7">SUM(M19:O19)</f>
        <v>0.28000000000000003</v>
      </c>
      <c r="D19" s="764">
        <f t="shared" ref="D19:D20" si="8">SUM(Q19:S19)</f>
        <v>0</v>
      </c>
      <c r="E19" s="764"/>
      <c r="F19" s="764"/>
      <c r="G19" s="764">
        <f t="shared" ref="G19:G20" si="9">ROUND(SUM(C19:F19)/2,0)</f>
        <v>0</v>
      </c>
      <c r="H19" s="764"/>
      <c r="I19" s="764">
        <f t="shared" ref="I19:I20" si="10">(M19+Q19)/2</f>
        <v>0</v>
      </c>
      <c r="J19" s="764">
        <f t="shared" ref="J19:J20" si="11">(N19+R19)/2</f>
        <v>0.14000000000000001</v>
      </c>
      <c r="K19" s="764">
        <f t="shared" ref="K19:K20" si="12">(O19+S19)/2</f>
        <v>0</v>
      </c>
      <c r="L19" s="764"/>
      <c r="M19" s="756"/>
      <c r="N19" s="756">
        <v>0.28000000000000003</v>
      </c>
      <c r="O19" s="756"/>
      <c r="P19" s="764"/>
      <c r="Q19" s="756"/>
      <c r="R19" s="756">
        <v>0</v>
      </c>
      <c r="S19" s="756"/>
    </row>
    <row r="20" spans="1:19">
      <c r="A20" s="777">
        <f t="shared" si="6"/>
        <v>2.0399999999999991</v>
      </c>
      <c r="B20" s="756" t="s">
        <v>983</v>
      </c>
      <c r="C20" s="764">
        <f t="shared" si="7"/>
        <v>0</v>
      </c>
      <c r="D20" s="764">
        <f t="shared" si="8"/>
        <v>0</v>
      </c>
      <c r="E20" s="764"/>
      <c r="F20" s="764"/>
      <c r="G20" s="764">
        <f t="shared" si="9"/>
        <v>0</v>
      </c>
      <c r="H20" s="764"/>
      <c r="I20" s="764">
        <f t="shared" si="10"/>
        <v>0</v>
      </c>
      <c r="J20" s="764">
        <f t="shared" si="11"/>
        <v>0</v>
      </c>
      <c r="K20" s="764">
        <f t="shared" si="12"/>
        <v>0</v>
      </c>
      <c r="L20" s="764"/>
      <c r="M20" s="756"/>
      <c r="N20" s="756">
        <v>0</v>
      </c>
      <c r="O20" s="756"/>
      <c r="P20" s="764"/>
      <c r="Q20" s="756"/>
      <c r="R20" s="756">
        <v>0</v>
      </c>
      <c r="S20" s="756"/>
    </row>
    <row r="21" spans="1:19">
      <c r="A21" s="777">
        <f t="shared" si="6"/>
        <v>2.0499999999999989</v>
      </c>
      <c r="B21" s="756" t="s">
        <v>984</v>
      </c>
      <c r="C21" s="764">
        <f t="shared" si="0"/>
        <v>23217.57</v>
      </c>
      <c r="D21" s="764">
        <f t="shared" si="1"/>
        <v>23561.87</v>
      </c>
      <c r="E21" s="764"/>
      <c r="F21" s="764"/>
      <c r="G21" s="764">
        <f t="shared" si="2"/>
        <v>23390</v>
      </c>
      <c r="H21" s="764"/>
      <c r="I21" s="764">
        <f t="shared" si="3"/>
        <v>0</v>
      </c>
      <c r="J21" s="764">
        <f t="shared" si="4"/>
        <v>23389.72</v>
      </c>
      <c r="K21" s="764">
        <f t="shared" si="5"/>
        <v>0</v>
      </c>
      <c r="L21" s="764"/>
      <c r="M21" s="756"/>
      <c r="N21" s="756">
        <v>23217.57</v>
      </c>
      <c r="O21" s="756"/>
      <c r="P21" s="764"/>
      <c r="Q21" s="756"/>
      <c r="R21" s="756">
        <v>23561.87</v>
      </c>
      <c r="S21" s="756"/>
    </row>
    <row r="22" spans="1:19">
      <c r="A22" s="777">
        <f t="shared" si="6"/>
        <v>2.0599999999999987</v>
      </c>
      <c r="B22" s="756" t="s">
        <v>985</v>
      </c>
      <c r="C22" s="764">
        <f t="shared" si="0"/>
        <v>1083.57</v>
      </c>
      <c r="D22" s="764">
        <f t="shared" si="1"/>
        <v>-91297.51</v>
      </c>
      <c r="E22" s="764"/>
      <c r="F22" s="764"/>
      <c r="G22" s="764">
        <f t="shared" si="2"/>
        <v>-45107</v>
      </c>
      <c r="H22" s="764"/>
      <c r="I22" s="764">
        <f t="shared" si="3"/>
        <v>0</v>
      </c>
      <c r="J22" s="764">
        <f t="shared" si="4"/>
        <v>-45106.969999999994</v>
      </c>
      <c r="K22" s="764">
        <f t="shared" si="5"/>
        <v>0</v>
      </c>
      <c r="L22" s="764"/>
      <c r="M22" s="756"/>
      <c r="N22" s="756">
        <v>1083.57</v>
      </c>
      <c r="O22" s="756"/>
      <c r="P22" s="764"/>
      <c r="Q22" s="756"/>
      <c r="R22" s="756">
        <v>-91297.51</v>
      </c>
      <c r="S22" s="756"/>
    </row>
    <row r="23" spans="1:19">
      <c r="A23" s="777">
        <f t="shared" si="6"/>
        <v>2.0699999999999985</v>
      </c>
      <c r="B23" s="756" t="s">
        <v>986</v>
      </c>
      <c r="C23" s="764">
        <f t="shared" si="0"/>
        <v>-46488.98</v>
      </c>
      <c r="D23" s="764">
        <f t="shared" si="1"/>
        <v>-47258.61</v>
      </c>
      <c r="E23" s="764"/>
      <c r="F23" s="764"/>
      <c r="G23" s="764">
        <f t="shared" si="2"/>
        <v>-46874</v>
      </c>
      <c r="H23" s="764"/>
      <c r="I23" s="764">
        <f t="shared" si="3"/>
        <v>0</v>
      </c>
      <c r="J23" s="764">
        <f t="shared" si="4"/>
        <v>-46873.794999999998</v>
      </c>
      <c r="K23" s="764">
        <f t="shared" si="5"/>
        <v>0</v>
      </c>
      <c r="L23" s="764"/>
      <c r="M23" s="756"/>
      <c r="N23" s="756">
        <v>-46488.98</v>
      </c>
      <c r="O23" s="756"/>
      <c r="P23" s="764"/>
      <c r="Q23" s="756"/>
      <c r="R23" s="756">
        <v>-47258.61</v>
      </c>
      <c r="S23" s="756"/>
    </row>
    <row r="24" spans="1:19">
      <c r="A24" s="777">
        <f t="shared" si="6"/>
        <v>2.0799999999999983</v>
      </c>
      <c r="B24" s="756" t="s">
        <v>987</v>
      </c>
      <c r="C24" s="764">
        <f t="shared" si="0"/>
        <v>817881.05</v>
      </c>
      <c r="D24" s="764">
        <f t="shared" si="1"/>
        <v>855831.39</v>
      </c>
      <c r="E24" s="764"/>
      <c r="F24" s="764"/>
      <c r="G24" s="764">
        <f t="shared" si="2"/>
        <v>836856</v>
      </c>
      <c r="H24" s="764"/>
      <c r="I24" s="764">
        <f t="shared" si="3"/>
        <v>0</v>
      </c>
      <c r="J24" s="764">
        <f t="shared" si="4"/>
        <v>836856.22</v>
      </c>
      <c r="K24" s="764">
        <f t="shared" si="5"/>
        <v>0</v>
      </c>
      <c r="L24" s="764"/>
      <c r="M24" s="756"/>
      <c r="N24" s="756">
        <v>817881.05</v>
      </c>
      <c r="O24" s="756"/>
      <c r="P24" s="764"/>
      <c r="Q24" s="756"/>
      <c r="R24" s="756">
        <v>855831.39</v>
      </c>
      <c r="S24" s="756"/>
    </row>
    <row r="25" spans="1:19">
      <c r="A25" s="777">
        <f t="shared" si="6"/>
        <v>2.0899999999999981</v>
      </c>
      <c r="B25" s="756" t="s">
        <v>988</v>
      </c>
      <c r="C25" s="764">
        <f t="shared" si="0"/>
        <v>3090.69</v>
      </c>
      <c r="D25" s="764">
        <f t="shared" si="1"/>
        <v>3107.29</v>
      </c>
      <c r="E25" s="764"/>
      <c r="F25" s="764"/>
      <c r="G25" s="764">
        <f t="shared" si="2"/>
        <v>3099</v>
      </c>
      <c r="H25" s="764"/>
      <c r="I25" s="764">
        <f t="shared" si="3"/>
        <v>0</v>
      </c>
      <c r="J25" s="764">
        <f t="shared" si="4"/>
        <v>3098.99</v>
      </c>
      <c r="K25" s="764">
        <f t="shared" si="5"/>
        <v>0</v>
      </c>
      <c r="L25" s="764"/>
      <c r="M25" s="756"/>
      <c r="N25" s="756">
        <v>3090.69</v>
      </c>
      <c r="O25" s="756"/>
      <c r="P25" s="764"/>
      <c r="Q25" s="756"/>
      <c r="R25" s="756">
        <v>3107.29</v>
      </c>
      <c r="S25" s="756"/>
    </row>
    <row r="26" spans="1:19">
      <c r="A26" s="777">
        <f t="shared" si="6"/>
        <v>2.0999999999999979</v>
      </c>
      <c r="B26" s="756" t="s">
        <v>989</v>
      </c>
      <c r="C26" s="764">
        <f t="shared" si="0"/>
        <v>-6309.49</v>
      </c>
      <c r="D26" s="764">
        <f t="shared" si="1"/>
        <v>0</v>
      </c>
      <c r="E26" s="764"/>
      <c r="F26" s="764"/>
      <c r="G26" s="764">
        <f t="shared" si="2"/>
        <v>-3155</v>
      </c>
      <c r="H26" s="764"/>
      <c r="I26" s="764">
        <f t="shared" si="3"/>
        <v>0</v>
      </c>
      <c r="J26" s="764">
        <f t="shared" si="4"/>
        <v>-3154.7449999999999</v>
      </c>
      <c r="K26" s="764">
        <f t="shared" si="5"/>
        <v>0</v>
      </c>
      <c r="L26" s="764"/>
      <c r="M26" s="756"/>
      <c r="N26" s="756">
        <v>-6309.49</v>
      </c>
      <c r="O26" s="756"/>
      <c r="P26" s="764"/>
      <c r="Q26" s="756"/>
      <c r="R26" s="756">
        <v>0</v>
      </c>
      <c r="S26" s="756"/>
    </row>
    <row r="27" spans="1:19">
      <c r="A27" s="777">
        <f t="shared" si="6"/>
        <v>2.1099999999999977</v>
      </c>
      <c r="B27" s="756" t="s">
        <v>990</v>
      </c>
      <c r="C27" s="764">
        <f t="shared" si="0"/>
        <v>0</v>
      </c>
      <c r="D27" s="764">
        <f t="shared" si="1"/>
        <v>0</v>
      </c>
      <c r="E27" s="764"/>
      <c r="F27" s="764"/>
      <c r="G27" s="764">
        <f t="shared" si="2"/>
        <v>0</v>
      </c>
      <c r="H27" s="764"/>
      <c r="I27" s="764">
        <f t="shared" si="3"/>
        <v>0</v>
      </c>
      <c r="J27" s="764">
        <f t="shared" si="4"/>
        <v>0</v>
      </c>
      <c r="K27" s="764">
        <f t="shared" si="5"/>
        <v>0</v>
      </c>
      <c r="L27" s="764"/>
      <c r="M27" s="756"/>
      <c r="N27" s="756"/>
      <c r="O27" s="756"/>
      <c r="P27" s="764"/>
      <c r="Q27" s="756"/>
      <c r="R27" s="756"/>
      <c r="S27" s="756"/>
    </row>
    <row r="28" spans="1:19">
      <c r="A28" s="777">
        <f t="shared" si="6"/>
        <v>2.1199999999999974</v>
      </c>
      <c r="B28" s="756" t="s">
        <v>991</v>
      </c>
      <c r="C28" s="764">
        <f t="shared" si="0"/>
        <v>-910.54</v>
      </c>
      <c r="D28" s="764">
        <f t="shared" si="1"/>
        <v>-5629.9400000000005</v>
      </c>
      <c r="E28" s="764"/>
      <c r="F28" s="764"/>
      <c r="G28" s="764">
        <f t="shared" si="2"/>
        <v>-3270</v>
      </c>
      <c r="H28" s="764"/>
      <c r="I28" s="764">
        <f t="shared" si="3"/>
        <v>0</v>
      </c>
      <c r="J28" s="764">
        <f t="shared" si="4"/>
        <v>-3270.2400000000002</v>
      </c>
      <c r="K28" s="764">
        <f t="shared" si="5"/>
        <v>0</v>
      </c>
      <c r="L28" s="764"/>
      <c r="M28" s="756"/>
      <c r="N28" s="756">
        <v>-910.54</v>
      </c>
      <c r="O28" s="756"/>
      <c r="P28" s="764"/>
      <c r="Q28" s="756"/>
      <c r="R28" s="756">
        <v>-5629.9400000000005</v>
      </c>
      <c r="S28" s="756"/>
    </row>
    <row r="29" spans="1:19">
      <c r="A29" s="777">
        <f t="shared" si="6"/>
        <v>2.1299999999999972</v>
      </c>
      <c r="B29" s="756" t="s">
        <v>992</v>
      </c>
      <c r="C29" s="764">
        <f t="shared" si="0"/>
        <v>675.84</v>
      </c>
      <c r="D29" s="764">
        <f t="shared" si="1"/>
        <v>1711.0900000000001</v>
      </c>
      <c r="E29" s="764"/>
      <c r="F29" s="764"/>
      <c r="G29" s="764">
        <f t="shared" si="2"/>
        <v>1193</v>
      </c>
      <c r="H29" s="764"/>
      <c r="I29" s="764">
        <f t="shared" si="3"/>
        <v>0</v>
      </c>
      <c r="J29" s="764">
        <f t="shared" si="4"/>
        <v>1193.4650000000001</v>
      </c>
      <c r="K29" s="764">
        <f t="shared" si="5"/>
        <v>0</v>
      </c>
      <c r="L29" s="764"/>
      <c r="M29" s="756"/>
      <c r="N29" s="756">
        <v>675.84</v>
      </c>
      <c r="O29" s="756"/>
      <c r="P29" s="764"/>
      <c r="Q29" s="756"/>
      <c r="R29" s="756">
        <v>1711.0900000000001</v>
      </c>
      <c r="S29" s="756"/>
    </row>
    <row r="30" spans="1:19">
      <c r="A30" s="777">
        <f t="shared" si="6"/>
        <v>2.139999999999997</v>
      </c>
      <c r="B30" s="756" t="s">
        <v>993</v>
      </c>
      <c r="C30" s="764">
        <f t="shared" si="0"/>
        <v>0.6</v>
      </c>
      <c r="D30" s="764">
        <f t="shared" si="1"/>
        <v>0.6</v>
      </c>
      <c r="E30" s="764"/>
      <c r="F30" s="764"/>
      <c r="G30" s="764">
        <f t="shared" si="2"/>
        <v>1</v>
      </c>
      <c r="H30" s="764"/>
      <c r="I30" s="764">
        <f t="shared" si="3"/>
        <v>0</v>
      </c>
      <c r="J30" s="764">
        <f t="shared" si="4"/>
        <v>0.6</v>
      </c>
      <c r="K30" s="764">
        <f t="shared" si="5"/>
        <v>0</v>
      </c>
      <c r="L30" s="764"/>
      <c r="M30" s="756"/>
      <c r="N30" s="756">
        <v>0.6</v>
      </c>
      <c r="O30" s="756"/>
      <c r="P30" s="764"/>
      <c r="Q30" s="756"/>
      <c r="R30" s="756">
        <v>0.6</v>
      </c>
      <c r="S30" s="756"/>
    </row>
    <row r="31" spans="1:19">
      <c r="A31" s="777">
        <f t="shared" si="6"/>
        <v>2.1499999999999968</v>
      </c>
      <c r="B31" s="756" t="s">
        <v>994</v>
      </c>
      <c r="C31" s="764">
        <f t="shared" si="0"/>
        <v>1639.58</v>
      </c>
      <c r="D31" s="764">
        <f t="shared" si="1"/>
        <v>2399.61</v>
      </c>
      <c r="E31" s="764"/>
      <c r="F31" s="764"/>
      <c r="G31" s="764">
        <f t="shared" si="2"/>
        <v>2020</v>
      </c>
      <c r="H31" s="764"/>
      <c r="I31" s="764">
        <f t="shared" si="3"/>
        <v>0</v>
      </c>
      <c r="J31" s="764">
        <f t="shared" si="4"/>
        <v>2019.595</v>
      </c>
      <c r="K31" s="764">
        <f t="shared" si="5"/>
        <v>0</v>
      </c>
      <c r="L31" s="764"/>
      <c r="M31" s="756"/>
      <c r="N31" s="756">
        <v>1639.58</v>
      </c>
      <c r="O31" s="756"/>
      <c r="P31" s="764"/>
      <c r="Q31" s="756"/>
      <c r="R31" s="756">
        <v>2399.61</v>
      </c>
      <c r="S31" s="756"/>
    </row>
    <row r="32" spans="1:19">
      <c r="A32" s="777">
        <f t="shared" si="6"/>
        <v>2.1599999999999966</v>
      </c>
      <c r="B32" s="756" t="s">
        <v>1057</v>
      </c>
      <c r="C32" s="764">
        <f t="shared" ref="C32" si="13">SUM(M32:O32)</f>
        <v>0</v>
      </c>
      <c r="D32" s="764">
        <f t="shared" ref="D32" si="14">SUM(Q32:S32)</f>
        <v>123465.93000000001</v>
      </c>
      <c r="E32" s="764"/>
      <c r="F32" s="764"/>
      <c r="G32" s="764">
        <f t="shared" ref="G32" si="15">ROUND(SUM(C32:F32)/2,0)</f>
        <v>61733</v>
      </c>
      <c r="H32" s="764"/>
      <c r="I32" s="764">
        <f t="shared" ref="I32" si="16">(M32+Q32)/2</f>
        <v>0</v>
      </c>
      <c r="J32" s="764">
        <f t="shared" ref="J32" si="17">(N32+R32)/2</f>
        <v>61732.965000000004</v>
      </c>
      <c r="K32" s="764">
        <f t="shared" ref="K32" si="18">(O32+S32)/2</f>
        <v>0</v>
      </c>
      <c r="L32" s="764"/>
      <c r="M32" s="756"/>
      <c r="N32" s="756">
        <v>0</v>
      </c>
      <c r="O32" s="756"/>
      <c r="P32" s="764"/>
      <c r="Q32" s="756"/>
      <c r="R32" s="756">
        <v>123465.93000000001</v>
      </c>
      <c r="S32" s="756"/>
    </row>
    <row r="33" spans="1:256">
      <c r="A33" s="777">
        <f t="shared" si="6"/>
        <v>2.1699999999999964</v>
      </c>
      <c r="B33" s="756" t="s">
        <v>1058</v>
      </c>
      <c r="C33" s="764">
        <f t="shared" ref="C33" si="19">SUM(M33:O33)</f>
        <v>0</v>
      </c>
      <c r="D33" s="764">
        <f t="shared" ref="D33" si="20">SUM(Q33:S33)</f>
        <v>6443.51</v>
      </c>
      <c r="E33" s="764"/>
      <c r="F33" s="764"/>
      <c r="G33" s="764">
        <f t="shared" ref="G33" si="21">ROUND(SUM(C33:F33)/2,0)</f>
        <v>3222</v>
      </c>
      <c r="H33" s="764"/>
      <c r="I33" s="764">
        <f t="shared" ref="I33" si="22">(M33+Q33)/2</f>
        <v>0</v>
      </c>
      <c r="J33" s="764">
        <f t="shared" ref="J33" si="23">(N33+R33)/2</f>
        <v>3221.7550000000001</v>
      </c>
      <c r="K33" s="764">
        <f t="shared" ref="K33" si="24">(O33+S33)/2</f>
        <v>0</v>
      </c>
      <c r="L33" s="764"/>
      <c r="M33" s="756"/>
      <c r="N33" s="756">
        <v>0</v>
      </c>
      <c r="O33" s="756"/>
      <c r="P33" s="764"/>
      <c r="Q33" s="756"/>
      <c r="R33" s="756">
        <v>6443.51</v>
      </c>
      <c r="S33" s="756"/>
    </row>
    <row r="34" spans="1:256">
      <c r="A34" s="777">
        <f t="shared" si="6"/>
        <v>2.1799999999999962</v>
      </c>
      <c r="B34" s="756" t="s">
        <v>995</v>
      </c>
      <c r="C34" s="764">
        <f t="shared" si="0"/>
        <v>-152458.26</v>
      </c>
      <c r="D34" s="764">
        <f t="shared" si="1"/>
        <v>-126488.49</v>
      </c>
      <c r="E34" s="764"/>
      <c r="F34" s="764"/>
      <c r="G34" s="764">
        <f t="shared" si="2"/>
        <v>-139473</v>
      </c>
      <c r="H34" s="764"/>
      <c r="I34" s="764">
        <f t="shared" si="3"/>
        <v>0</v>
      </c>
      <c r="J34" s="764">
        <f t="shared" si="4"/>
        <v>-139473.375</v>
      </c>
      <c r="K34" s="764">
        <f t="shared" si="5"/>
        <v>0</v>
      </c>
      <c r="L34" s="764"/>
      <c r="M34" s="756"/>
      <c r="N34" s="756">
        <v>-152458.26</v>
      </c>
      <c r="O34" s="756"/>
      <c r="P34" s="764"/>
      <c r="Q34" s="756"/>
      <c r="R34" s="756">
        <v>-126488.49</v>
      </c>
      <c r="S34" s="756"/>
    </row>
    <row r="35" spans="1:256">
      <c r="A35" s="777">
        <f t="shared" si="6"/>
        <v>2.1899999999999959</v>
      </c>
      <c r="B35" s="1033" t="s">
        <v>917</v>
      </c>
      <c r="C35" s="1033">
        <f>SUM(M35:O35)</f>
        <v>1708579.7618399998</v>
      </c>
      <c r="D35" s="1033">
        <f>SUM(Q35:S35)</f>
        <v>0</v>
      </c>
      <c r="E35" s="1034"/>
      <c r="F35" s="1034"/>
      <c r="G35" s="1035">
        <f>ROUND(SUM(C35:F35)/2,0)</f>
        <v>854290</v>
      </c>
      <c r="H35" s="1035"/>
      <c r="I35" s="1035">
        <f t="shared" ref="I35:K35" si="25">(M35+Q35)/2</f>
        <v>0</v>
      </c>
      <c r="J35" s="1035">
        <f t="shared" si="25"/>
        <v>854289.88091999991</v>
      </c>
      <c r="K35" s="1035">
        <f t="shared" si="25"/>
        <v>0</v>
      </c>
      <c r="L35" s="764"/>
      <c r="M35" s="756"/>
      <c r="N35" s="756">
        <v>1708579.7618399998</v>
      </c>
      <c r="O35" s="756"/>
      <c r="P35" s="764"/>
      <c r="Q35" s="756"/>
      <c r="R35" s="756"/>
      <c r="S35" s="756"/>
    </row>
    <row r="36" spans="1:256">
      <c r="A36" s="777">
        <f t="shared" si="6"/>
        <v>2.1999999999999957</v>
      </c>
      <c r="B36" s="1033" t="s">
        <v>918</v>
      </c>
      <c r="C36" s="1033">
        <f>-E36</f>
        <v>-1708579.7618399998</v>
      </c>
      <c r="D36" s="1033">
        <f>-F36</f>
        <v>0</v>
      </c>
      <c r="E36" s="1034">
        <f>C35</f>
        <v>1708579.7618399998</v>
      </c>
      <c r="F36" s="1034">
        <f>D35</f>
        <v>0</v>
      </c>
      <c r="G36" s="1035">
        <f>ROUND(SUM(C36:F36)/2,0)</f>
        <v>0</v>
      </c>
      <c r="H36" s="1035"/>
      <c r="I36" s="1035"/>
      <c r="J36" s="1035"/>
      <c r="K36" s="1035"/>
      <c r="L36" s="764"/>
      <c r="M36" s="756"/>
      <c r="N36" s="756"/>
      <c r="O36" s="756"/>
      <c r="P36" s="764"/>
      <c r="Q36" s="756"/>
      <c r="R36" s="756"/>
      <c r="S36" s="756"/>
    </row>
    <row r="37" spans="1:256">
      <c r="A37" s="777">
        <f t="shared" si="6"/>
        <v>2.2099999999999955</v>
      </c>
      <c r="B37" s="756" t="s">
        <v>843</v>
      </c>
      <c r="C37" s="756">
        <f t="shared" ref="C37:D42" si="26">-E37</f>
        <v>0</v>
      </c>
      <c r="D37" s="756">
        <f t="shared" si="26"/>
        <v>0</v>
      </c>
      <c r="E37" s="764">
        <v>0</v>
      </c>
      <c r="F37" s="764">
        <v>0</v>
      </c>
      <c r="G37" s="764">
        <f t="shared" ref="G37:G44" si="27">ROUND(SUM(C37:F37)/2,0)</f>
        <v>0</v>
      </c>
      <c r="H37" s="764"/>
      <c r="I37" s="764"/>
      <c r="J37" s="764"/>
      <c r="K37" s="764"/>
      <c r="L37" s="764"/>
      <c r="M37" s="764"/>
      <c r="N37" s="764"/>
      <c r="O37" s="764"/>
      <c r="P37" s="764"/>
      <c r="Q37" s="764"/>
      <c r="R37" s="764"/>
      <c r="S37" s="764"/>
    </row>
    <row r="38" spans="1:256">
      <c r="A38" s="777">
        <f t="shared" si="6"/>
        <v>2.2199999999999953</v>
      </c>
      <c r="B38" s="756" t="s">
        <v>851</v>
      </c>
      <c r="C38" s="756">
        <f t="shared" si="26"/>
        <v>96241.02</v>
      </c>
      <c r="D38" s="756">
        <f t="shared" si="26"/>
        <v>95625.42</v>
      </c>
      <c r="E38" s="764">
        <v>-96241.02</v>
      </c>
      <c r="F38" s="764">
        <v>-95625.42</v>
      </c>
      <c r="G38" s="764">
        <f t="shared" si="27"/>
        <v>0</v>
      </c>
      <c r="H38" s="764"/>
      <c r="I38" s="764"/>
      <c r="J38" s="764"/>
      <c r="K38" s="764"/>
      <c r="L38" s="764"/>
      <c r="M38" s="764"/>
      <c r="N38" s="764"/>
      <c r="O38" s="764"/>
      <c r="P38" s="764"/>
      <c r="Q38" s="764"/>
      <c r="R38" s="764"/>
      <c r="S38" s="764"/>
    </row>
    <row r="39" spans="1:256">
      <c r="A39" s="777">
        <f t="shared" si="6"/>
        <v>2.2299999999999951</v>
      </c>
      <c r="B39" s="756" t="s">
        <v>852</v>
      </c>
      <c r="C39" s="756">
        <f t="shared" si="26"/>
        <v>1859477.49</v>
      </c>
      <c r="D39" s="756">
        <f t="shared" si="26"/>
        <v>-3010054.43</v>
      </c>
      <c r="E39" s="764">
        <v>-1859477.49</v>
      </c>
      <c r="F39" s="764">
        <v>3010054.43</v>
      </c>
      <c r="G39" s="764">
        <f t="shared" si="27"/>
        <v>0</v>
      </c>
      <c r="H39" s="764"/>
      <c r="I39" s="764"/>
      <c r="J39" s="764"/>
      <c r="K39" s="764"/>
      <c r="L39" s="764"/>
      <c r="M39" s="764"/>
      <c r="N39" s="764"/>
      <c r="O39" s="764"/>
      <c r="P39" s="764"/>
      <c r="Q39" s="764"/>
      <c r="R39" s="764"/>
      <c r="S39" s="764"/>
    </row>
    <row r="40" spans="1:256">
      <c r="A40" s="777">
        <f t="shared" si="6"/>
        <v>2.2399999999999949</v>
      </c>
      <c r="B40" s="756" t="s">
        <v>1054</v>
      </c>
      <c r="C40" s="756">
        <f t="shared" si="26"/>
        <v>0</v>
      </c>
      <c r="D40" s="756">
        <f t="shared" si="26"/>
        <v>382526.84</v>
      </c>
      <c r="E40" s="764">
        <v>0</v>
      </c>
      <c r="F40" s="764">
        <v>-382526.84</v>
      </c>
      <c r="G40" s="764">
        <f t="shared" si="27"/>
        <v>0</v>
      </c>
      <c r="H40" s="764"/>
      <c r="I40" s="764"/>
      <c r="J40" s="764"/>
      <c r="K40" s="764"/>
      <c r="L40" s="764"/>
      <c r="M40" s="764"/>
      <c r="N40" s="764"/>
      <c r="O40" s="764"/>
      <c r="P40" s="764"/>
      <c r="Q40" s="764"/>
      <c r="R40" s="764"/>
      <c r="S40" s="764"/>
    </row>
    <row r="41" spans="1:256">
      <c r="A41" s="777">
        <f t="shared" si="6"/>
        <v>2.2499999999999947</v>
      </c>
      <c r="B41" s="756" t="s">
        <v>853</v>
      </c>
      <c r="C41" s="756">
        <f t="shared" si="26"/>
        <v>0</v>
      </c>
      <c r="D41" s="756">
        <f t="shared" si="26"/>
        <v>0</v>
      </c>
      <c r="E41" s="764">
        <v>0</v>
      </c>
      <c r="F41" s="764">
        <v>0</v>
      </c>
      <c r="G41" s="764">
        <f t="shared" si="27"/>
        <v>0</v>
      </c>
      <c r="H41" s="764"/>
      <c r="I41" s="764"/>
      <c r="J41" s="764"/>
      <c r="K41" s="764"/>
      <c r="L41" s="764"/>
      <c r="M41" s="764"/>
      <c r="N41" s="764"/>
      <c r="O41" s="764"/>
      <c r="P41" s="764"/>
      <c r="Q41" s="764"/>
      <c r="R41" s="764"/>
      <c r="S41" s="764"/>
    </row>
    <row r="42" spans="1:256">
      <c r="A42" s="777">
        <f t="shared" si="6"/>
        <v>2.2599999999999945</v>
      </c>
      <c r="B42" s="756" t="s">
        <v>854</v>
      </c>
      <c r="C42" s="756">
        <f t="shared" si="26"/>
        <v>0</v>
      </c>
      <c r="D42" s="756">
        <f t="shared" si="26"/>
        <v>0</v>
      </c>
      <c r="E42" s="764">
        <v>0</v>
      </c>
      <c r="F42" s="764">
        <v>0</v>
      </c>
      <c r="G42" s="764">
        <f t="shared" si="27"/>
        <v>0</v>
      </c>
      <c r="H42" s="764"/>
      <c r="I42" s="764"/>
      <c r="J42" s="764"/>
      <c r="K42" s="764"/>
      <c r="L42" s="764"/>
      <c r="M42" s="764"/>
      <c r="N42" s="764"/>
      <c r="O42" s="764"/>
      <c r="P42" s="764"/>
      <c r="Q42" s="764"/>
      <c r="R42" s="764"/>
      <c r="S42" s="764"/>
    </row>
    <row r="43" spans="1:256">
      <c r="A43" s="777">
        <f t="shared" si="6"/>
        <v>2.2699999999999942</v>
      </c>
      <c r="B43" s="756" t="s">
        <v>990</v>
      </c>
      <c r="C43" s="756">
        <f t="shared" ref="C43" si="28">-E43</f>
        <v>164651.47</v>
      </c>
      <c r="D43" s="756">
        <f t="shared" ref="D43" si="29">-F43</f>
        <v>7880.79</v>
      </c>
      <c r="E43" s="764">
        <v>-164651.47</v>
      </c>
      <c r="F43" s="764">
        <v>-7880.79</v>
      </c>
      <c r="G43" s="764">
        <f t="shared" ref="G43" si="30">ROUND(SUM(C43:F43)/2,0)</f>
        <v>0</v>
      </c>
      <c r="H43" s="764"/>
      <c r="I43" s="764"/>
      <c r="J43" s="764"/>
      <c r="K43" s="764"/>
      <c r="L43" s="764"/>
      <c r="M43" s="764"/>
      <c r="N43" s="764"/>
      <c r="O43" s="764"/>
      <c r="P43" s="764"/>
      <c r="Q43" s="764"/>
      <c r="R43" s="764"/>
      <c r="S43" s="764"/>
    </row>
    <row r="44" spans="1:256">
      <c r="A44" s="777">
        <f t="shared" si="6"/>
        <v>2.279999999999994</v>
      </c>
      <c r="B44" s="756" t="s">
        <v>855</v>
      </c>
      <c r="C44" s="764">
        <f>SUM(M44:O44)</f>
        <v>0</v>
      </c>
      <c r="D44" s="764">
        <f>SUM(Q44:S44)</f>
        <v>0</v>
      </c>
      <c r="E44" s="764"/>
      <c r="F44" s="764"/>
      <c r="G44" s="764">
        <f t="shared" si="27"/>
        <v>0</v>
      </c>
      <c r="H44" s="764"/>
      <c r="I44" s="764">
        <f>(M44+Q44)/2</f>
        <v>0</v>
      </c>
      <c r="J44" s="764">
        <f>(N44+R44)/2</f>
        <v>0</v>
      </c>
      <c r="K44" s="764">
        <f>(O44+S44)/2</f>
        <v>0</v>
      </c>
      <c r="L44" s="764"/>
      <c r="M44" s="756"/>
      <c r="N44" s="756">
        <v>0</v>
      </c>
      <c r="O44" s="756"/>
      <c r="P44" s="764"/>
      <c r="Q44" s="756"/>
      <c r="R44" s="756">
        <v>0</v>
      </c>
      <c r="S44" s="756"/>
    </row>
    <row r="45" spans="1:256">
      <c r="A45" s="772"/>
      <c r="B45" s="764"/>
      <c r="C45" s="764"/>
      <c r="D45" s="764"/>
      <c r="E45" s="764"/>
      <c r="F45" s="764"/>
      <c r="G45" s="764"/>
      <c r="H45" s="764"/>
      <c r="I45" s="764"/>
      <c r="J45" s="764"/>
      <c r="K45" s="764"/>
      <c r="L45" s="764"/>
      <c r="M45" s="764"/>
      <c r="N45" s="764"/>
      <c r="O45" s="764"/>
      <c r="P45" s="764"/>
      <c r="Q45" s="764"/>
      <c r="R45" s="764"/>
      <c r="S45" s="764"/>
    </row>
    <row r="46" spans="1:256" ht="13.5" thickBot="1">
      <c r="A46" s="755">
        <v>3</v>
      </c>
      <c r="B46" s="764" t="s">
        <v>690</v>
      </c>
      <c r="C46" s="773">
        <f>SUM(C17:C45)</f>
        <v>2761791.89</v>
      </c>
      <c r="D46" s="773">
        <f>SUM(D17:D45)</f>
        <v>2771118.359999998</v>
      </c>
      <c r="E46" s="773">
        <f>SUM(E17:E45)</f>
        <v>-411790.21816000016</v>
      </c>
      <c r="F46" s="773">
        <f>SUM(F17:F45)</f>
        <v>2524021.3800000004</v>
      </c>
      <c r="G46" s="773">
        <f>SUM(G17:G45)</f>
        <v>3822572</v>
      </c>
      <c r="H46" s="764"/>
      <c r="I46" s="773">
        <f>SUM(I17:I45)</f>
        <v>0</v>
      </c>
      <c r="J46" s="773">
        <f>SUM(J17:J45)</f>
        <v>3822570.7059200001</v>
      </c>
      <c r="K46" s="773">
        <f>SUM(K17:K45)</f>
        <v>0</v>
      </c>
      <c r="L46" s="764"/>
      <c r="M46" s="773">
        <f>SUM(M17:M45)</f>
        <v>0</v>
      </c>
      <c r="N46" s="773">
        <f>SUM(N17:N45)</f>
        <v>2350001.6718399995</v>
      </c>
      <c r="O46" s="773">
        <f>SUM(O17:O45)</f>
        <v>0</v>
      </c>
      <c r="P46" s="764"/>
      <c r="Q46" s="773">
        <f>SUM(Q17:Q45)</f>
        <v>0</v>
      </c>
      <c r="R46" s="773">
        <f>SUM(R17:R45)</f>
        <v>5295139.7399999984</v>
      </c>
      <c r="S46" s="773">
        <f>SUM(S17:S45)</f>
        <v>0</v>
      </c>
    </row>
    <row r="47" spans="1:256" ht="13.5" thickTop="1">
      <c r="A47" s="755">
        <v>4</v>
      </c>
      <c r="B47" s="758" t="s">
        <v>691</v>
      </c>
      <c r="C47" s="764">
        <v>0</v>
      </c>
      <c r="D47" s="764">
        <v>0</v>
      </c>
      <c r="E47" s="764">
        <v>0</v>
      </c>
      <c r="F47" s="764">
        <v>0</v>
      </c>
      <c r="G47" s="764">
        <v>0</v>
      </c>
      <c r="I47" s="764">
        <v>0</v>
      </c>
      <c r="J47" s="764">
        <v>0</v>
      </c>
      <c r="K47" s="764">
        <v>0</v>
      </c>
      <c r="M47" s="764">
        <v>0</v>
      </c>
      <c r="N47" s="764">
        <v>0</v>
      </c>
      <c r="O47" s="764">
        <v>0</v>
      </c>
      <c r="Q47" s="764">
        <v>0</v>
      </c>
      <c r="R47" s="764">
        <v>0</v>
      </c>
      <c r="S47" s="764">
        <v>0</v>
      </c>
      <c r="IV47" s="764"/>
    </row>
    <row r="48" spans="1:256">
      <c r="I48" s="764"/>
    </row>
  </sheetData>
  <pageMargins left="0.7" right="0.7" top="0.75" bottom="0.75" header="0.3" footer="0.3"/>
  <pageSetup scale="3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W93"/>
  <sheetViews>
    <sheetView tabSelected="1" view="pageBreakPreview" zoomScale="85" zoomScaleNormal="100" zoomScaleSheetLayoutView="85" workbookViewId="0">
      <selection activeCell="B7" sqref="B7"/>
    </sheetView>
  </sheetViews>
  <sheetFormatPr defaultColWidth="10" defaultRowHeight="12"/>
  <cols>
    <col min="1" max="1" width="9.42578125" style="979" customWidth="1"/>
    <col min="2" max="2" width="20.85546875" style="980" customWidth="1"/>
    <col min="3" max="3" width="35.5703125" style="979" customWidth="1"/>
    <col min="4" max="4" width="12.85546875" style="979" customWidth="1"/>
    <col min="5" max="5" width="10.42578125" style="979" customWidth="1"/>
    <col min="6" max="6" width="16.42578125" style="979" customWidth="1"/>
    <col min="7" max="7" width="12" style="979" customWidth="1"/>
    <col min="8" max="8" width="14.28515625" style="979" bestFit="1" customWidth="1"/>
    <col min="9" max="9" width="18.85546875" style="979" customWidth="1"/>
    <col min="10" max="10" width="15.5703125" style="979" customWidth="1"/>
    <col min="11" max="11" width="16.140625" style="979" customWidth="1"/>
    <col min="12" max="13" width="15" style="979" customWidth="1"/>
    <col min="14" max="14" width="13.5703125" style="979" customWidth="1"/>
    <col min="15" max="15" width="15" style="979" customWidth="1"/>
    <col min="16" max="17" width="17.5703125" style="979" customWidth="1"/>
    <col min="18" max="18" width="33" style="979" customWidth="1"/>
    <col min="19" max="19" width="15" style="979" customWidth="1"/>
    <col min="20" max="21" width="14.5703125" style="979" bestFit="1" customWidth="1"/>
    <col min="22" max="22" width="10.5703125" style="979" bestFit="1" customWidth="1"/>
    <col min="23" max="16384" width="10" style="979"/>
  </cols>
  <sheetData>
    <row r="1" spans="1:23" ht="12.75">
      <c r="A1" s="979" t="s">
        <v>857</v>
      </c>
      <c r="R1" s="981"/>
    </row>
    <row r="2" spans="1:23" ht="12.75">
      <c r="A2" s="979" t="s">
        <v>928</v>
      </c>
      <c r="R2" s="981"/>
      <c r="V2" s="982"/>
    </row>
    <row r="3" spans="1:23" ht="12.75">
      <c r="A3" s="979" t="s">
        <v>962</v>
      </c>
      <c r="R3" s="981"/>
      <c r="V3" s="983"/>
    </row>
    <row r="4" spans="1:23">
      <c r="A4" s="979" t="s">
        <v>963</v>
      </c>
      <c r="G4" s="984"/>
    </row>
    <row r="5" spans="1:23">
      <c r="A5" s="979" t="s">
        <v>858</v>
      </c>
      <c r="I5" s="985"/>
      <c r="J5" s="985"/>
      <c r="P5" s="985"/>
      <c r="Q5" s="985"/>
    </row>
    <row r="6" spans="1:23">
      <c r="J6" s="985"/>
      <c r="K6" s="986"/>
      <c r="L6" s="980"/>
      <c r="M6" s="980"/>
      <c r="N6" s="980"/>
      <c r="O6" s="980"/>
      <c r="P6" s="980"/>
      <c r="Q6" s="980"/>
    </row>
    <row r="7" spans="1:23">
      <c r="B7" s="987"/>
      <c r="C7" s="987"/>
      <c r="D7" s="987"/>
      <c r="E7" s="987"/>
      <c r="F7" s="987"/>
      <c r="G7" s="987"/>
      <c r="H7" s="987"/>
      <c r="I7" s="987"/>
      <c r="J7" s="987"/>
      <c r="K7" s="987"/>
      <c r="L7" s="987"/>
      <c r="M7" s="987"/>
      <c r="N7" s="987"/>
      <c r="O7" s="987"/>
      <c r="P7" s="987"/>
      <c r="Q7" s="980"/>
    </row>
    <row r="8" spans="1:23">
      <c r="A8" s="980" t="s">
        <v>448</v>
      </c>
      <c r="B8" s="980" t="s">
        <v>449</v>
      </c>
      <c r="C8" s="980" t="s">
        <v>450</v>
      </c>
      <c r="D8" s="980" t="s">
        <v>451</v>
      </c>
      <c r="E8" s="980" t="s">
        <v>452</v>
      </c>
      <c r="F8" s="980" t="s">
        <v>453</v>
      </c>
      <c r="G8" s="980" t="s">
        <v>454</v>
      </c>
      <c r="H8" s="980" t="s">
        <v>455</v>
      </c>
      <c r="I8" s="980" t="s">
        <v>859</v>
      </c>
      <c r="J8" s="980" t="s">
        <v>860</v>
      </c>
      <c r="K8" s="980" t="s">
        <v>458</v>
      </c>
      <c r="L8" s="980" t="s">
        <v>459</v>
      </c>
      <c r="M8" s="980" t="s">
        <v>460</v>
      </c>
      <c r="N8" s="980" t="s">
        <v>31</v>
      </c>
      <c r="O8" s="980" t="s">
        <v>107</v>
      </c>
      <c r="P8" s="980" t="s">
        <v>152</v>
      </c>
      <c r="Q8" s="980" t="s">
        <v>153</v>
      </c>
      <c r="R8" s="980" t="s">
        <v>154</v>
      </c>
    </row>
    <row r="9" spans="1:23" ht="14.45" customHeight="1">
      <c r="B9"/>
      <c r="C9"/>
      <c r="D9"/>
      <c r="E9"/>
      <c r="I9" s="1159" t="s">
        <v>1011</v>
      </c>
      <c r="J9" s="1159"/>
      <c r="K9" s="1160" t="s">
        <v>861</v>
      </c>
      <c r="L9" s="1160"/>
      <c r="M9" s="1160"/>
      <c r="N9" s="1161" t="s">
        <v>862</v>
      </c>
      <c r="O9" s="1161"/>
      <c r="P9" s="1159" t="s">
        <v>1012</v>
      </c>
      <c r="Q9" s="1159"/>
    </row>
    <row r="10" spans="1:23" ht="69.95" customHeight="1">
      <c r="A10" s="988" t="s">
        <v>863</v>
      </c>
      <c r="B10" s="990" t="s">
        <v>972</v>
      </c>
      <c r="C10" s="989" t="s">
        <v>864</v>
      </c>
      <c r="D10" s="990" t="s">
        <v>865</v>
      </c>
      <c r="E10" s="990" t="s">
        <v>866</v>
      </c>
      <c r="F10" s="990" t="s">
        <v>973</v>
      </c>
      <c r="G10" s="990" t="s">
        <v>867</v>
      </c>
      <c r="H10" s="990" t="s">
        <v>868</v>
      </c>
      <c r="I10" s="991" t="s">
        <v>974</v>
      </c>
      <c r="J10" s="991" t="s">
        <v>975</v>
      </c>
      <c r="K10" s="990" t="s">
        <v>869</v>
      </c>
      <c r="L10" s="990">
        <v>182.3</v>
      </c>
      <c r="M10" s="990">
        <v>254</v>
      </c>
      <c r="N10" s="990" t="s">
        <v>976</v>
      </c>
      <c r="O10" s="990" t="s">
        <v>870</v>
      </c>
      <c r="P10" s="991" t="s">
        <v>977</v>
      </c>
      <c r="Q10" s="991" t="s">
        <v>978</v>
      </c>
      <c r="R10" s="992" t="s">
        <v>871</v>
      </c>
    </row>
    <row r="11" spans="1:23">
      <c r="B11" s="979"/>
      <c r="D11" s="993"/>
      <c r="E11" s="993"/>
      <c r="F11" s="993"/>
      <c r="G11" s="993"/>
      <c r="H11" s="993"/>
      <c r="I11" s="993"/>
      <c r="J11" s="993"/>
      <c r="K11" s="993"/>
      <c r="L11" s="993"/>
      <c r="M11" s="993"/>
      <c r="N11" s="993"/>
      <c r="O11" s="993"/>
      <c r="P11" s="1162" t="s">
        <v>872</v>
      </c>
      <c r="Q11" s="1162"/>
      <c r="R11" s="992"/>
    </row>
    <row r="12" spans="1:23">
      <c r="B12" s="994" t="s">
        <v>873</v>
      </c>
      <c r="C12" s="995"/>
      <c r="D12" s="995"/>
      <c r="E12" s="995"/>
      <c r="F12" s="995"/>
      <c r="G12" s="995"/>
      <c r="H12" s="995"/>
      <c r="I12" s="995"/>
      <c r="J12" s="995"/>
      <c r="K12" s="995"/>
      <c r="L12" s="995"/>
      <c r="M12" s="995"/>
      <c r="N12" s="995"/>
      <c r="O12" s="995"/>
      <c r="P12" s="995"/>
      <c r="Q12" s="995"/>
      <c r="R12" s="983"/>
      <c r="S12" s="983"/>
      <c r="T12" s="983"/>
      <c r="U12" s="983"/>
      <c r="V12" s="983"/>
      <c r="W12" s="983"/>
    </row>
    <row r="13" spans="1:23">
      <c r="A13" s="979" t="s">
        <v>874</v>
      </c>
      <c r="B13" s="996" t="s">
        <v>875</v>
      </c>
      <c r="C13" s="979" t="s">
        <v>1066</v>
      </c>
      <c r="D13" s="979" t="s">
        <v>1063</v>
      </c>
      <c r="E13" s="979" t="s">
        <v>878</v>
      </c>
      <c r="F13" s="980"/>
      <c r="I13" s="997">
        <v>1859477.8341716696</v>
      </c>
      <c r="J13" s="998" t="s">
        <v>416</v>
      </c>
      <c r="K13" s="999"/>
      <c r="L13" s="999"/>
      <c r="M13" s="999">
        <v>-320238.92</v>
      </c>
      <c r="N13" s="999"/>
      <c r="O13" s="999"/>
      <c r="P13" s="1000">
        <f>SUM(I13:O13)</f>
        <v>1539238.9141716696</v>
      </c>
      <c r="Q13" s="1001" t="s">
        <v>416</v>
      </c>
      <c r="R13" s="1002" t="s">
        <v>919</v>
      </c>
      <c r="S13" s="983"/>
      <c r="T13" s="983"/>
      <c r="U13" s="983"/>
      <c r="V13" s="983"/>
      <c r="W13" s="983"/>
    </row>
    <row r="14" spans="1:23">
      <c r="A14" s="979" t="s">
        <v>879</v>
      </c>
      <c r="B14" s="996" t="s">
        <v>880</v>
      </c>
      <c r="C14" s="979" t="s">
        <v>881</v>
      </c>
      <c r="D14" s="979" t="s">
        <v>882</v>
      </c>
      <c r="E14" s="979" t="s">
        <v>878</v>
      </c>
      <c r="F14" s="1003">
        <v>-171531496</v>
      </c>
      <c r="G14" s="1004" t="s">
        <v>883</v>
      </c>
      <c r="H14" s="1004" t="s">
        <v>884</v>
      </c>
      <c r="I14" s="1005" t="s">
        <v>416</v>
      </c>
      <c r="J14" s="999">
        <v>-5654957.0371000003</v>
      </c>
      <c r="K14" s="999"/>
      <c r="L14" s="999"/>
      <c r="M14" s="999"/>
      <c r="N14" s="999">
        <v>-15989.042683300611</v>
      </c>
      <c r="O14" s="999"/>
      <c r="P14" s="1006" t="s">
        <v>416</v>
      </c>
      <c r="Q14" s="1007">
        <f>SUM(J14:O14)</f>
        <v>-5670946.0797833009</v>
      </c>
      <c r="R14" s="1008"/>
      <c r="S14" s="983"/>
      <c r="T14" s="983"/>
      <c r="U14" s="983"/>
      <c r="V14" s="983"/>
      <c r="W14" s="983"/>
    </row>
    <row r="15" spans="1:23">
      <c r="A15" s="979" t="s">
        <v>885</v>
      </c>
      <c r="B15" s="996" t="s">
        <v>880</v>
      </c>
      <c r="C15" s="979" t="s">
        <v>881</v>
      </c>
      <c r="D15" s="979" t="s">
        <v>886</v>
      </c>
      <c r="E15" s="979" t="s">
        <v>878</v>
      </c>
      <c r="F15" s="1009">
        <v>0</v>
      </c>
      <c r="G15" s="1004" t="s">
        <v>887</v>
      </c>
      <c r="H15" s="1004" t="s">
        <v>888</v>
      </c>
      <c r="I15" s="1005"/>
      <c r="J15" s="999">
        <v>-179281.0322231818</v>
      </c>
      <c r="K15" s="999"/>
      <c r="L15" s="999"/>
      <c r="M15" s="999"/>
      <c r="N15" s="999">
        <v>59759.989258939386</v>
      </c>
      <c r="O15" s="999"/>
      <c r="P15" s="1006"/>
      <c r="Q15" s="1007">
        <f>SUM(J15:O15)</f>
        <v>-119521.04296424241</v>
      </c>
      <c r="R15" s="1008" t="s">
        <v>916</v>
      </c>
      <c r="S15" s="983"/>
      <c r="T15" s="983"/>
      <c r="U15" s="983"/>
      <c r="V15" s="983"/>
      <c r="W15" s="983"/>
    </row>
    <row r="16" spans="1:23">
      <c r="A16" s="979" t="s">
        <v>889</v>
      </c>
      <c r="B16" s="996" t="s">
        <v>890</v>
      </c>
      <c r="C16" s="979" t="s">
        <v>891</v>
      </c>
      <c r="D16" s="979" t="s">
        <v>882</v>
      </c>
      <c r="E16" s="979" t="s">
        <v>878</v>
      </c>
      <c r="F16" s="1009"/>
      <c r="G16" s="1004"/>
      <c r="H16" s="1004"/>
      <c r="I16" s="997">
        <v>5654957.0371000003</v>
      </c>
      <c r="J16" s="998"/>
      <c r="K16" s="999"/>
      <c r="L16" s="999"/>
      <c r="M16" s="999">
        <v>15989.042683300613</v>
      </c>
      <c r="N16" s="999"/>
      <c r="O16" s="999"/>
      <c r="P16" s="1000">
        <f>SUM(I16:O16)</f>
        <v>5670946.0797833009</v>
      </c>
      <c r="Q16" s="998"/>
      <c r="R16" s="1156" t="s">
        <v>920</v>
      </c>
      <c r="S16" s="983"/>
      <c r="T16" s="983"/>
      <c r="U16" s="983"/>
      <c r="V16" s="983"/>
      <c r="W16" s="983"/>
    </row>
    <row r="17" spans="1:23">
      <c r="A17" s="979" t="s">
        <v>892</v>
      </c>
      <c r="B17" s="996" t="s">
        <v>890</v>
      </c>
      <c r="C17" s="979" t="s">
        <v>891</v>
      </c>
      <c r="D17" s="979" t="s">
        <v>886</v>
      </c>
      <c r="E17" s="979" t="s">
        <v>878</v>
      </c>
      <c r="F17" s="1009"/>
      <c r="G17" s="1004"/>
      <c r="H17" s="1004"/>
      <c r="I17" s="997">
        <v>179284.0322231818</v>
      </c>
      <c r="J17" s="998"/>
      <c r="K17" s="999"/>
      <c r="L17" s="999"/>
      <c r="M17" s="999">
        <v>-59759.989258939378</v>
      </c>
      <c r="N17" s="999"/>
      <c r="O17" s="999"/>
      <c r="P17" s="1000">
        <f>SUM(I17:O17)</f>
        <v>119524.04296424243</v>
      </c>
      <c r="Q17" s="998"/>
      <c r="R17" s="1156"/>
      <c r="S17" s="983"/>
      <c r="T17" s="983"/>
      <c r="U17" s="983"/>
      <c r="V17" s="983"/>
      <c r="W17" s="983"/>
    </row>
    <row r="18" spans="1:23">
      <c r="A18" s="979" t="s">
        <v>893</v>
      </c>
      <c r="B18" s="996" t="s">
        <v>894</v>
      </c>
      <c r="C18" s="979" t="s">
        <v>895</v>
      </c>
      <c r="D18" s="979" t="s">
        <v>886</v>
      </c>
      <c r="E18" s="979" t="s">
        <v>878</v>
      </c>
      <c r="F18" s="1009">
        <v>2463331</v>
      </c>
      <c r="G18" s="1004" t="s">
        <v>887</v>
      </c>
      <c r="H18" s="1004" t="s">
        <v>888</v>
      </c>
      <c r="I18" s="1005" t="s">
        <v>416</v>
      </c>
      <c r="J18" s="999">
        <v>225176.69888742937</v>
      </c>
      <c r="K18" s="999"/>
      <c r="L18" s="999"/>
      <c r="M18" s="999"/>
      <c r="N18" s="999">
        <v>-225176.1003708567</v>
      </c>
      <c r="O18" s="999"/>
      <c r="P18" s="1006" t="s">
        <v>416</v>
      </c>
      <c r="Q18" s="1007">
        <f>SUM(J18:O18)</f>
        <v>0.59851657267427072</v>
      </c>
      <c r="R18" s="1002" t="s">
        <v>896</v>
      </c>
      <c r="S18" s="983"/>
      <c r="T18" s="983"/>
      <c r="U18" s="983"/>
      <c r="V18" s="983"/>
      <c r="W18" s="983"/>
    </row>
    <row r="19" spans="1:23">
      <c r="A19" s="979" t="s">
        <v>897</v>
      </c>
      <c r="B19" s="996" t="s">
        <v>898</v>
      </c>
      <c r="C19" s="979" t="s">
        <v>899</v>
      </c>
      <c r="D19" s="979" t="s">
        <v>886</v>
      </c>
      <c r="E19" s="979" t="s">
        <v>878</v>
      </c>
      <c r="F19" s="1003"/>
      <c r="G19" s="1004"/>
      <c r="H19" s="1004"/>
      <c r="I19" s="997">
        <v>-225176.69888742937</v>
      </c>
      <c r="J19" s="998"/>
      <c r="K19" s="999"/>
      <c r="L19" s="999"/>
      <c r="M19" s="999">
        <v>225176.1003708567</v>
      </c>
      <c r="N19" s="999"/>
      <c r="O19" s="999"/>
      <c r="P19" s="1000">
        <f>SUM(I19:O19)</f>
        <v>-0.59851657267427072</v>
      </c>
      <c r="Q19" s="1006"/>
      <c r="R19" s="1002" t="s">
        <v>921</v>
      </c>
      <c r="S19" s="983"/>
      <c r="T19" s="983"/>
      <c r="U19" s="983"/>
      <c r="V19" s="983"/>
      <c r="W19" s="983"/>
    </row>
    <row r="20" spans="1:23">
      <c r="A20" s="979" t="s">
        <v>900</v>
      </c>
      <c r="B20" s="996" t="s">
        <v>946</v>
      </c>
      <c r="C20" s="979" t="s">
        <v>1059</v>
      </c>
      <c r="D20" s="979" t="s">
        <v>1063</v>
      </c>
      <c r="E20" s="979" t="s">
        <v>878</v>
      </c>
      <c r="F20" s="1003"/>
      <c r="G20" s="1004"/>
      <c r="H20" s="1004"/>
      <c r="I20" s="1108"/>
      <c r="J20" s="1109"/>
      <c r="K20" s="1109"/>
      <c r="L20" s="1109"/>
      <c r="M20" s="1109"/>
      <c r="N20" s="1109">
        <v>4549293</v>
      </c>
      <c r="O20" s="1109"/>
      <c r="P20" s="1110"/>
      <c r="Q20" s="1111">
        <f>SUM(J20:O20)</f>
        <v>4549293</v>
      </c>
      <c r="R20" s="1002"/>
      <c r="S20" s="983"/>
      <c r="T20" s="983"/>
      <c r="U20" s="983"/>
      <c r="V20" s="983"/>
      <c r="W20" s="983"/>
    </row>
    <row r="21" spans="1:23">
      <c r="A21" s="979" t="s">
        <v>1068</v>
      </c>
      <c r="B21" s="996" t="s">
        <v>1060</v>
      </c>
      <c r="C21" s="979" t="s">
        <v>876</v>
      </c>
      <c r="D21" s="979" t="s">
        <v>1063</v>
      </c>
      <c r="E21" s="979" t="s">
        <v>878</v>
      </c>
      <c r="F21" s="1003"/>
      <c r="G21" s="1004"/>
      <c r="H21" s="1004"/>
      <c r="I21" s="1109"/>
      <c r="J21" s="1108"/>
      <c r="K21" s="1109"/>
      <c r="L21" s="1109">
        <v>-4549293</v>
      </c>
      <c r="M21" s="1109"/>
      <c r="N21" s="1109"/>
      <c r="O21" s="1109"/>
      <c r="P21" s="1111">
        <f t="shared" ref="P21:P24" si="0">SUM(I21:O21)</f>
        <v>-4549293</v>
      </c>
      <c r="Q21" s="1110"/>
      <c r="R21" s="1002"/>
      <c r="S21" s="983"/>
      <c r="T21" s="983"/>
      <c r="U21" s="983"/>
      <c r="V21" s="983"/>
      <c r="W21" s="983"/>
    </row>
    <row r="22" spans="1:23">
      <c r="A22" s="979" t="s">
        <v>1069</v>
      </c>
      <c r="B22" s="996" t="s">
        <v>1061</v>
      </c>
      <c r="C22" s="979" t="s">
        <v>1062</v>
      </c>
      <c r="D22" s="979" t="s">
        <v>1063</v>
      </c>
      <c r="E22" s="979" t="s">
        <v>1064</v>
      </c>
      <c r="F22" s="1003"/>
      <c r="G22" s="1004"/>
      <c r="H22" s="1004"/>
      <c r="I22" s="1109"/>
      <c r="J22" s="1108"/>
      <c r="K22" s="1109"/>
      <c r="L22" s="1109"/>
      <c r="M22" s="1109">
        <v>382526.84</v>
      </c>
      <c r="N22" s="1109"/>
      <c r="O22" s="1109"/>
      <c r="P22" s="1111">
        <f t="shared" si="0"/>
        <v>382526.84</v>
      </c>
      <c r="Q22" s="1110"/>
      <c r="R22" s="1002"/>
      <c r="S22" s="983"/>
      <c r="T22" s="983"/>
      <c r="U22" s="983"/>
      <c r="V22" s="983"/>
      <c r="W22" s="983"/>
    </row>
    <row r="23" spans="1:23">
      <c r="A23" s="979" t="s">
        <v>1070</v>
      </c>
      <c r="B23" s="996" t="s">
        <v>1065</v>
      </c>
      <c r="C23" s="979" t="s">
        <v>1066</v>
      </c>
      <c r="D23" s="979" t="s">
        <v>882</v>
      </c>
      <c r="E23" s="979" t="s">
        <v>878</v>
      </c>
      <c r="F23" s="1003"/>
      <c r="G23" s="1004"/>
      <c r="H23" s="1004"/>
      <c r="I23" s="1109"/>
      <c r="J23" s="1108"/>
      <c r="K23" s="1109"/>
      <c r="L23" s="1109">
        <v>-1209305.734177215</v>
      </c>
      <c r="M23" s="1109"/>
      <c r="N23" s="1109"/>
      <c r="O23" s="1109"/>
      <c r="P23" s="1111">
        <f t="shared" si="0"/>
        <v>-1209305.734177215</v>
      </c>
      <c r="Q23" s="1110"/>
      <c r="R23" s="1002"/>
      <c r="S23" s="983"/>
      <c r="T23" s="983"/>
      <c r="U23" s="983"/>
      <c r="V23" s="983"/>
      <c r="W23" s="983"/>
    </row>
    <row r="24" spans="1:23">
      <c r="A24" s="979" t="s">
        <v>1071</v>
      </c>
      <c r="B24" s="996" t="s">
        <v>1067</v>
      </c>
      <c r="C24" s="979" t="s">
        <v>1062</v>
      </c>
      <c r="D24" s="979" t="s">
        <v>882</v>
      </c>
      <c r="E24" s="979" t="s">
        <v>1064</v>
      </c>
      <c r="F24" s="1003"/>
      <c r="G24" s="1004"/>
      <c r="H24" s="1004"/>
      <c r="I24" s="1109"/>
      <c r="J24" s="1108"/>
      <c r="K24" s="1109"/>
      <c r="L24" s="1109">
        <v>-300532.9857247388</v>
      </c>
      <c r="M24" s="1109"/>
      <c r="N24" s="1109"/>
      <c r="O24" s="1109"/>
      <c r="P24" s="1111">
        <f t="shared" si="0"/>
        <v>-300532.9857247388</v>
      </c>
      <c r="Q24" s="1110"/>
      <c r="R24" s="1002"/>
      <c r="S24" s="983"/>
      <c r="T24" s="983"/>
      <c r="U24" s="983"/>
      <c r="V24" s="983"/>
      <c r="W24" s="983"/>
    </row>
    <row r="25" spans="1:23">
      <c r="A25" s="979" t="s">
        <v>1072</v>
      </c>
      <c r="B25" s="1004" t="s">
        <v>901</v>
      </c>
      <c r="F25" s="1003"/>
      <c r="G25" s="1004"/>
      <c r="H25" s="1004"/>
      <c r="I25" s="997"/>
      <c r="J25" s="997"/>
      <c r="K25" s="999"/>
      <c r="L25" s="999"/>
      <c r="M25" s="999"/>
      <c r="N25" s="999"/>
      <c r="O25" s="999"/>
      <c r="P25" s="1001"/>
      <c r="Q25" s="1000"/>
      <c r="R25" s="1010"/>
      <c r="S25" s="983"/>
      <c r="T25" s="983"/>
      <c r="U25" s="983"/>
      <c r="V25" s="983"/>
      <c r="W25" s="983"/>
    </row>
    <row r="26" spans="1:23" ht="12.75">
      <c r="B26"/>
      <c r="C26"/>
      <c r="D26"/>
      <c r="E26"/>
      <c r="F26"/>
      <c r="G26"/>
      <c r="H26"/>
      <c r="I26"/>
      <c r="J26"/>
      <c r="K26"/>
      <c r="L26"/>
      <c r="M26"/>
      <c r="N26"/>
      <c r="O26"/>
      <c r="P26"/>
      <c r="Q26"/>
      <c r="R26"/>
      <c r="S26" s="983"/>
      <c r="T26" s="983"/>
      <c r="U26" s="983"/>
      <c r="V26" s="983"/>
      <c r="W26" s="983"/>
    </row>
    <row r="27" spans="1:23" s="983" customFormat="1">
      <c r="A27" s="979"/>
      <c r="B27" s="994" t="s">
        <v>902</v>
      </c>
    </row>
    <row r="28" spans="1:23" ht="11.45" customHeight="1">
      <c r="A28" s="979" t="s">
        <v>903</v>
      </c>
      <c r="B28" s="980">
        <v>182.3</v>
      </c>
      <c r="C28" s="1011" t="s">
        <v>904</v>
      </c>
      <c r="D28" s="1012" t="s">
        <v>416</v>
      </c>
      <c r="E28" s="979" t="s">
        <v>878</v>
      </c>
      <c r="F28" s="1012"/>
      <c r="G28" s="1012" t="s">
        <v>416</v>
      </c>
      <c r="H28" s="1012"/>
      <c r="I28" s="1013">
        <v>0</v>
      </c>
      <c r="J28" s="997"/>
      <c r="K28" s="999"/>
      <c r="L28" s="999">
        <v>6059131.7199019538</v>
      </c>
      <c r="M28" s="999"/>
      <c r="N28" s="999"/>
      <c r="O28" s="998"/>
      <c r="P28" s="1001">
        <f>SUM(I28:O28)</f>
        <v>6059131.7199019538</v>
      </c>
      <c r="Q28" s="1014"/>
      <c r="R28" s="1002" t="s">
        <v>905</v>
      </c>
      <c r="S28" s="983"/>
      <c r="T28" s="983"/>
      <c r="U28" s="983"/>
      <c r="V28" s="983"/>
      <c r="W28" s="983"/>
    </row>
    <row r="29" spans="1:23" ht="11.45" customHeight="1">
      <c r="A29" s="979" t="s">
        <v>906</v>
      </c>
      <c r="B29" s="980">
        <v>254</v>
      </c>
      <c r="C29" s="1011" t="s">
        <v>907</v>
      </c>
      <c r="D29" s="1012" t="s">
        <v>416</v>
      </c>
      <c r="E29" s="979" t="s">
        <v>878</v>
      </c>
      <c r="F29" s="1012"/>
      <c r="G29" s="1012" t="s">
        <v>416</v>
      </c>
      <c r="H29" s="1012"/>
      <c r="I29" s="1013">
        <v>-7468542.2046074215</v>
      </c>
      <c r="J29" s="997"/>
      <c r="K29" s="999"/>
      <c r="L29" s="999"/>
      <c r="M29" s="999">
        <v>138833.76620478206</v>
      </c>
      <c r="N29" s="999"/>
      <c r="O29" s="998"/>
      <c r="P29" s="1001">
        <f>SUM(I29:O29)</f>
        <v>-7329708.4384026397</v>
      </c>
      <c r="Q29" s="1014"/>
      <c r="R29" s="1002" t="s">
        <v>905</v>
      </c>
      <c r="S29" s="983"/>
      <c r="T29" s="983"/>
      <c r="U29" s="983"/>
      <c r="V29" s="983"/>
      <c r="W29" s="983"/>
    </row>
    <row r="30" spans="1:23" ht="11.45" customHeight="1">
      <c r="A30" s="1112" t="s">
        <v>908</v>
      </c>
      <c r="B30" s="980">
        <v>254.00020000000001</v>
      </c>
      <c r="C30" s="1011" t="s">
        <v>1073</v>
      </c>
      <c r="D30" s="1113"/>
      <c r="E30" s="979" t="s">
        <v>1064</v>
      </c>
      <c r="F30" s="1113"/>
      <c r="G30" s="1113"/>
      <c r="H30" s="1113"/>
      <c r="I30" s="1114">
        <v>0</v>
      </c>
      <c r="J30" s="1113"/>
      <c r="K30" s="1109"/>
      <c r="L30" s="1109"/>
      <c r="M30" s="1109">
        <v>-382526.84</v>
      </c>
      <c r="N30" s="1113"/>
      <c r="O30" s="1113"/>
      <c r="P30" s="1115">
        <f>SUM(I30:O30)</f>
        <v>-382526.84</v>
      </c>
      <c r="Q30" s="1116"/>
      <c r="R30" s="1002"/>
      <c r="S30" s="983"/>
      <c r="T30" s="983"/>
      <c r="U30" s="983"/>
      <c r="V30" s="983"/>
      <c r="W30" s="983"/>
    </row>
    <row r="31" spans="1:23" ht="11.45" customHeight="1">
      <c r="A31" s="979">
        <v>2</v>
      </c>
      <c r="B31" s="1004" t="s">
        <v>901</v>
      </c>
      <c r="C31" s="1011"/>
      <c r="D31" s="1012"/>
      <c r="F31" s="1012"/>
      <c r="G31" s="1012"/>
      <c r="H31" s="1012"/>
      <c r="I31" s="999"/>
      <c r="J31" s="999"/>
      <c r="K31" s="999"/>
      <c r="L31" s="999"/>
      <c r="M31" s="999"/>
      <c r="N31" s="999"/>
      <c r="O31" s="1012"/>
      <c r="P31" s="1014"/>
      <c r="Q31" s="1014"/>
      <c r="R31" s="1002"/>
      <c r="S31" s="983"/>
      <c r="T31" s="983"/>
      <c r="U31" s="983"/>
      <c r="V31" s="983"/>
      <c r="W31" s="983"/>
    </row>
    <row r="32" spans="1:23">
      <c r="C32" s="1011"/>
      <c r="D32" s="987"/>
      <c r="E32" s="987"/>
      <c r="F32" s="987"/>
      <c r="G32" s="987"/>
      <c r="H32" s="987"/>
      <c r="I32" s="987"/>
      <c r="J32" s="987"/>
      <c r="K32" s="987"/>
      <c r="L32" s="987"/>
      <c r="M32" s="987"/>
      <c r="N32" s="987"/>
      <c r="O32" s="987"/>
      <c r="P32" s="987"/>
      <c r="Q32" s="987"/>
      <c r="R32" s="1015"/>
      <c r="S32" s="983"/>
      <c r="T32" s="983"/>
      <c r="U32" s="983"/>
      <c r="V32" s="983"/>
      <c r="W32" s="983"/>
    </row>
    <row r="33" spans="1:23" ht="12.75" thickBot="1">
      <c r="A33" s="1016">
        <v>3</v>
      </c>
      <c r="B33" s="1157" t="str">
        <f>"Total For Accounting Entires (Sum of Lines "&amp;A13&amp;" through "&amp;A29&amp;")"</f>
        <v>Total For Accounting Entires (Sum of Lines 1a through 2b)</v>
      </c>
      <c r="C33" s="1157"/>
      <c r="D33" s="1012"/>
      <c r="E33" s="1012"/>
      <c r="F33" s="1012"/>
      <c r="G33" s="1012"/>
      <c r="H33" s="1012"/>
      <c r="I33" s="1017">
        <v>0</v>
      </c>
      <c r="J33" s="1018">
        <v>-5596117.2593238354</v>
      </c>
      <c r="K33" s="1019">
        <f>SUM(K13:K32)</f>
        <v>0</v>
      </c>
      <c r="L33" s="1019">
        <f>SUM(L13:L32)</f>
        <v>0</v>
      </c>
      <c r="M33" s="1019">
        <f>SUM(M13:M32)</f>
        <v>0</v>
      </c>
      <c r="N33" s="1018">
        <f>-SUM(N13:N32)</f>
        <v>-4367887.8462047819</v>
      </c>
      <c r="O33" s="1018">
        <f>-SUM(O13:O32)</f>
        <v>0</v>
      </c>
      <c r="P33" s="1019">
        <f>SUM(P13:P32)</f>
        <v>7.5669959187507629E-10</v>
      </c>
      <c r="Q33" s="1018">
        <f>SUM(Q13:Q32)</f>
        <v>-1241173.524230971</v>
      </c>
      <c r="R33" s="1020"/>
      <c r="S33" s="983"/>
      <c r="T33" s="983"/>
      <c r="U33" s="983"/>
      <c r="V33" s="983"/>
      <c r="W33" s="983"/>
    </row>
    <row r="34" spans="1:23" ht="12.75" thickTop="1">
      <c r="C34" s="1011"/>
      <c r="D34" s="987"/>
      <c r="E34" s="987"/>
      <c r="F34" s="987"/>
      <c r="G34" s="987"/>
      <c r="H34" s="987"/>
      <c r="I34" s="1021"/>
      <c r="J34" s="1009"/>
      <c r="K34" s="1022"/>
      <c r="L34" s="1022"/>
      <c r="M34" s="1022"/>
      <c r="N34" s="1023" t="s">
        <v>909</v>
      </c>
      <c r="O34" s="1023"/>
      <c r="P34" s="1022"/>
      <c r="Q34" s="1024"/>
      <c r="R34" s="1020"/>
      <c r="S34" s="983"/>
      <c r="T34" s="983"/>
      <c r="U34" s="983"/>
      <c r="V34" s="983"/>
      <c r="W34" s="983"/>
    </row>
    <row r="35" spans="1:23">
      <c r="B35" s="979"/>
      <c r="C35" s="1011"/>
      <c r="D35" s="987"/>
      <c r="E35" s="987"/>
      <c r="F35" s="987"/>
      <c r="G35" s="987"/>
      <c r="H35" s="987"/>
      <c r="I35" s="1021"/>
      <c r="J35" s="1024"/>
      <c r="K35" s="1022"/>
      <c r="L35" s="1022"/>
      <c r="M35" s="1022"/>
      <c r="N35" s="1024"/>
      <c r="O35" s="1024"/>
      <c r="P35" s="1022"/>
      <c r="Q35" s="1024"/>
      <c r="R35" s="1020"/>
      <c r="S35" s="983"/>
      <c r="T35" s="983"/>
      <c r="U35" s="983"/>
      <c r="V35" s="983"/>
      <c r="W35" s="983"/>
    </row>
    <row r="36" spans="1:23" ht="15" customHeight="1">
      <c r="A36" s="1025" t="s">
        <v>910</v>
      </c>
      <c r="B36" s="1158" t="s">
        <v>911</v>
      </c>
      <c r="C36" s="1158"/>
      <c r="D36" s="1158"/>
      <c r="E36" s="1158"/>
      <c r="F36" s="1158"/>
      <c r="G36" s="1158"/>
      <c r="H36" s="1158"/>
      <c r="I36" s="1158"/>
      <c r="J36" s="1158"/>
      <c r="K36" s="1026"/>
      <c r="O36" s="1005"/>
      <c r="P36" s="1005"/>
      <c r="Q36" s="1005"/>
      <c r="R36" s="983"/>
    </row>
    <row r="37" spans="1:23">
      <c r="B37" s="1158"/>
      <c r="C37" s="1158"/>
      <c r="D37" s="1158"/>
      <c r="E37" s="1158"/>
      <c r="F37" s="1158"/>
      <c r="G37" s="1158"/>
      <c r="H37" s="1158"/>
      <c r="I37" s="1158"/>
      <c r="J37" s="1158"/>
      <c r="K37" s="1026"/>
      <c r="O37" s="1005"/>
      <c r="R37" s="983"/>
    </row>
    <row r="38" spans="1:23">
      <c r="B38" s="1158"/>
      <c r="C38" s="1158"/>
      <c r="D38" s="1158"/>
      <c r="E38" s="1158"/>
      <c r="F38" s="1158"/>
      <c r="G38" s="1158"/>
      <c r="H38" s="1158"/>
      <c r="I38" s="1158"/>
      <c r="J38" s="1158"/>
      <c r="K38" s="1026"/>
      <c r="R38" s="983"/>
    </row>
    <row r="39" spans="1:23">
      <c r="B39" s="1158"/>
      <c r="C39" s="1158"/>
      <c r="D39" s="1158"/>
      <c r="E39" s="1158"/>
      <c r="F39" s="1158"/>
      <c r="G39" s="1158"/>
      <c r="H39" s="1158"/>
      <c r="I39" s="1158"/>
      <c r="J39" s="1158"/>
      <c r="K39" s="1026"/>
      <c r="P39" s="1005"/>
      <c r="Q39" s="1005"/>
      <c r="R39" s="983"/>
    </row>
    <row r="40" spans="1:23">
      <c r="B40" s="1158"/>
      <c r="C40" s="1158"/>
      <c r="D40" s="1158"/>
      <c r="E40" s="1158"/>
      <c r="F40" s="1158"/>
      <c r="G40" s="1158"/>
      <c r="H40" s="1158"/>
      <c r="I40" s="1158"/>
      <c r="J40" s="1158"/>
      <c r="K40" s="1026"/>
      <c r="R40" s="983"/>
    </row>
    <row r="41" spans="1:23">
      <c r="B41" s="1158"/>
      <c r="C41" s="1158"/>
      <c r="D41" s="1158"/>
      <c r="E41" s="1158"/>
      <c r="F41" s="1158"/>
      <c r="G41" s="1158"/>
      <c r="H41" s="1158"/>
      <c r="I41" s="1158"/>
      <c r="J41" s="1158"/>
      <c r="K41" s="1026"/>
      <c r="R41" s="983"/>
    </row>
    <row r="42" spans="1:23" ht="5.0999999999999996" customHeight="1">
      <c r="B42" s="1026"/>
      <c r="C42" s="1026"/>
      <c r="D42" s="1026"/>
      <c r="E42" s="1026"/>
      <c r="F42" s="1026"/>
      <c r="G42" s="1026"/>
      <c r="H42" s="1026"/>
      <c r="I42" s="1026"/>
      <c r="J42" s="1026"/>
      <c r="K42" s="1026"/>
      <c r="R42" s="983"/>
    </row>
    <row r="43" spans="1:23" ht="12.6" customHeight="1">
      <c r="A43" s="979" t="s">
        <v>912</v>
      </c>
      <c r="B43" s="1027" t="s">
        <v>964</v>
      </c>
      <c r="C43" s="1027"/>
      <c r="D43" s="1027"/>
      <c r="E43" s="1027"/>
      <c r="F43" s="1027"/>
      <c r="G43" s="1027"/>
      <c r="H43" s="1027"/>
      <c r="I43" s="1027"/>
      <c r="J43" s="1027"/>
      <c r="K43" s="1026"/>
      <c r="R43" s="983"/>
    </row>
    <row r="44" spans="1:23" ht="5.0999999999999996" customHeight="1">
      <c r="B44" s="1026"/>
      <c r="C44" s="1026"/>
      <c r="D44" s="1026"/>
      <c r="E44" s="1026"/>
      <c r="F44" s="1026"/>
      <c r="G44" s="1026"/>
      <c r="H44" s="1026"/>
      <c r="I44" s="1026"/>
      <c r="J44" s="1026"/>
      <c r="K44" s="1026"/>
      <c r="R44" s="983"/>
    </row>
    <row r="45" spans="1:23" ht="12.6" customHeight="1">
      <c r="A45" s="979" t="s">
        <v>913</v>
      </c>
      <c r="B45" s="1158" t="s">
        <v>965</v>
      </c>
      <c r="C45" s="1158"/>
      <c r="D45" s="1158"/>
      <c r="E45" s="1158"/>
      <c r="F45" s="1158"/>
      <c r="G45" s="1158"/>
      <c r="H45" s="1158"/>
      <c r="I45" s="1158"/>
      <c r="J45" s="1158"/>
      <c r="K45" s="1026"/>
      <c r="R45" s="983"/>
    </row>
    <row r="46" spans="1:23" ht="12.6" customHeight="1">
      <c r="B46" s="1158"/>
      <c r="C46" s="1158"/>
      <c r="D46" s="1158"/>
      <c r="E46" s="1158"/>
      <c r="F46" s="1158"/>
      <c r="G46" s="1158"/>
      <c r="H46" s="1158"/>
      <c r="I46" s="1158"/>
      <c r="J46" s="1158"/>
      <c r="K46" s="1026"/>
      <c r="R46" s="983"/>
    </row>
    <row r="47" spans="1:23" ht="5.0999999999999996" customHeight="1">
      <c r="B47" s="1026"/>
      <c r="C47" s="1026"/>
      <c r="D47" s="1026"/>
      <c r="E47" s="1026"/>
      <c r="F47" s="1026"/>
      <c r="G47" s="1026"/>
      <c r="H47" s="1026"/>
      <c r="I47" s="1026"/>
      <c r="J47" s="1026"/>
      <c r="K47" s="1026"/>
      <c r="R47" s="983"/>
    </row>
    <row r="48" spans="1:23">
      <c r="A48" s="979" t="s">
        <v>914</v>
      </c>
      <c r="B48" s="1016" t="s">
        <v>966</v>
      </c>
      <c r="C48" s="1026"/>
      <c r="D48" s="1026"/>
      <c r="E48" s="1026"/>
      <c r="F48" s="1026"/>
      <c r="G48" s="1026"/>
      <c r="H48" s="1026"/>
      <c r="I48" s="1026"/>
      <c r="J48" s="1026"/>
      <c r="K48" s="1026"/>
      <c r="R48" s="983"/>
    </row>
    <row r="49" spans="1:18" ht="8.1" customHeight="1">
      <c r="B49" s="1016"/>
      <c r="C49" s="1026"/>
      <c r="D49" s="1026"/>
      <c r="E49" s="1026"/>
      <c r="F49" s="1026"/>
      <c r="G49" s="1026"/>
      <c r="H49" s="1026"/>
      <c r="I49" s="1026"/>
      <c r="J49" s="1026"/>
      <c r="K49" s="1026"/>
      <c r="R49" s="983"/>
    </row>
    <row r="50" spans="1:18" ht="12" customHeight="1">
      <c r="A50" s="1016" t="s">
        <v>915</v>
      </c>
      <c r="B50" s="1158" t="s">
        <v>967</v>
      </c>
      <c r="C50" s="1158"/>
      <c r="D50" s="1158"/>
      <c r="E50" s="1158"/>
      <c r="F50" s="1158"/>
      <c r="G50" s="1158"/>
      <c r="H50" s="1158"/>
      <c r="I50" s="1158"/>
      <c r="J50" s="1026"/>
      <c r="R50" s="983"/>
    </row>
    <row r="51" spans="1:18" ht="11.45" customHeight="1">
      <c r="B51" s="1158"/>
      <c r="C51" s="1158"/>
      <c r="D51" s="1158"/>
      <c r="E51" s="1158"/>
      <c r="F51" s="1158"/>
      <c r="G51" s="1158"/>
      <c r="H51" s="1158"/>
      <c r="I51" s="1158"/>
      <c r="J51" s="1026"/>
      <c r="R51" s="983"/>
    </row>
    <row r="52" spans="1:18">
      <c r="R52" s="983"/>
    </row>
    <row r="53" spans="1:18">
      <c r="A53" s="1016" t="s">
        <v>968</v>
      </c>
      <c r="B53" s="1158" t="s">
        <v>969</v>
      </c>
      <c r="C53" s="1158"/>
      <c r="D53" s="1158"/>
      <c r="E53" s="1158"/>
      <c r="F53" s="1158"/>
      <c r="G53" s="1158"/>
      <c r="H53" s="1158"/>
      <c r="I53" s="1158"/>
      <c r="R53" s="983"/>
    </row>
    <row r="54" spans="1:18">
      <c r="B54" s="1158"/>
      <c r="C54" s="1158"/>
      <c r="D54" s="1158"/>
      <c r="E54" s="1158"/>
      <c r="F54" s="1158"/>
      <c r="G54" s="1158"/>
      <c r="H54" s="1158"/>
      <c r="I54" s="1158"/>
      <c r="R54" s="983"/>
    </row>
    <row r="56" spans="1:18">
      <c r="A56" s="1016" t="s">
        <v>970</v>
      </c>
      <c r="B56" s="979" t="s">
        <v>971</v>
      </c>
    </row>
    <row r="59" spans="1:18">
      <c r="A59" s="1025"/>
      <c r="B59" s="1025"/>
      <c r="C59" s="1025"/>
      <c r="D59" s="1025"/>
      <c r="E59" s="1025"/>
      <c r="F59" s="1025"/>
      <c r="G59" s="1025"/>
      <c r="H59" s="1025"/>
      <c r="I59" s="1025"/>
      <c r="J59" s="1025"/>
      <c r="K59" s="1025"/>
    </row>
    <row r="60" spans="1:18">
      <c r="A60" s="1025"/>
      <c r="B60" s="1025"/>
      <c r="C60" s="1025"/>
      <c r="D60" s="1025"/>
      <c r="E60" s="1025"/>
      <c r="F60" s="1025"/>
      <c r="G60" s="1025"/>
      <c r="H60" s="1025"/>
      <c r="I60" s="1025"/>
      <c r="J60" s="1025"/>
      <c r="K60" s="1025"/>
    </row>
    <row r="61" spans="1:18">
      <c r="D61" s="1025"/>
      <c r="E61" s="1025"/>
      <c r="F61" s="1025"/>
      <c r="G61" s="1025"/>
      <c r="H61" s="1025"/>
      <c r="I61" s="1025"/>
      <c r="J61" s="1025"/>
      <c r="K61" s="1025"/>
    </row>
    <row r="62" spans="1:18">
      <c r="A62" s="1025"/>
      <c r="B62" s="1025"/>
      <c r="C62" s="1025"/>
      <c r="D62" s="1025"/>
      <c r="E62" s="1025"/>
      <c r="F62" s="1025"/>
      <c r="G62" s="1025"/>
      <c r="H62" s="1025"/>
      <c r="I62" s="1025"/>
      <c r="J62" s="1025"/>
      <c r="K62" s="1025"/>
    </row>
    <row r="63" spans="1:18">
      <c r="A63" s="1025"/>
      <c r="B63" s="1025"/>
      <c r="C63" s="1025"/>
      <c r="D63" s="1025"/>
      <c r="E63" s="1025"/>
      <c r="F63" s="1025"/>
      <c r="G63" s="1025"/>
      <c r="H63" s="1025"/>
      <c r="I63" s="1025"/>
      <c r="J63" s="1025"/>
      <c r="K63" s="1025"/>
    </row>
    <row r="64" spans="1:18">
      <c r="A64" s="1025"/>
      <c r="B64" s="1025"/>
      <c r="C64" s="1025"/>
      <c r="D64" s="1025"/>
      <c r="E64" s="1025"/>
      <c r="F64" s="1025"/>
      <c r="G64" s="1025"/>
      <c r="H64" s="1025"/>
      <c r="I64" s="1025"/>
      <c r="J64" s="1025"/>
      <c r="K64" s="1025"/>
    </row>
    <row r="65" spans="1:11">
      <c r="A65" s="1025"/>
      <c r="B65" s="1025"/>
      <c r="C65" s="1025"/>
      <c r="D65" s="1025"/>
      <c r="E65" s="1025"/>
      <c r="F65" s="1025"/>
      <c r="G65" s="1025"/>
      <c r="H65" s="1025"/>
      <c r="I65" s="1025"/>
      <c r="J65" s="1025"/>
      <c r="K65" s="1025"/>
    </row>
    <row r="66" spans="1:11">
      <c r="A66" s="1025"/>
      <c r="B66" s="1025"/>
      <c r="C66" s="1025"/>
      <c r="D66" s="1025"/>
      <c r="E66" s="1025"/>
      <c r="F66" s="1025"/>
      <c r="G66" s="1025"/>
      <c r="H66" s="1025"/>
      <c r="I66" s="1025"/>
      <c r="J66" s="1025"/>
      <c r="K66" s="1025"/>
    </row>
    <row r="67" spans="1:11">
      <c r="A67" s="1025"/>
      <c r="B67" s="1025"/>
      <c r="C67" s="1025"/>
      <c r="D67" s="1025"/>
      <c r="E67" s="1025"/>
      <c r="F67" s="1025"/>
      <c r="G67" s="1025"/>
      <c r="H67" s="1025"/>
      <c r="I67" s="1025"/>
      <c r="J67" s="1025"/>
      <c r="K67" s="1025"/>
    </row>
    <row r="68" spans="1:11">
      <c r="A68" s="1025"/>
      <c r="B68" s="1025"/>
      <c r="C68" s="1025"/>
      <c r="D68" s="1025"/>
      <c r="E68" s="1025"/>
      <c r="F68" s="1025"/>
      <c r="G68" s="1025"/>
      <c r="H68" s="1025"/>
      <c r="I68" s="1025"/>
      <c r="J68" s="1025"/>
      <c r="K68" s="1025"/>
    </row>
    <row r="69" spans="1:11">
      <c r="A69" s="1025"/>
      <c r="B69" s="1025"/>
      <c r="C69" s="1025"/>
      <c r="D69" s="1025"/>
      <c r="E69" s="1025"/>
      <c r="F69" s="1025"/>
      <c r="G69" s="1025"/>
      <c r="H69" s="1025"/>
      <c r="I69" s="1025"/>
      <c r="J69" s="1025"/>
      <c r="K69" s="1025"/>
    </row>
    <row r="76" spans="1:11">
      <c r="B76" s="1016"/>
    </row>
    <row r="77" spans="1:11">
      <c r="B77" s="979"/>
    </row>
    <row r="78" spans="1:11">
      <c r="B78" s="979"/>
    </row>
    <row r="79" spans="1:11">
      <c r="B79" s="979"/>
    </row>
    <row r="80" spans="1:11">
      <c r="B80" s="979"/>
    </row>
    <row r="81" spans="1:11">
      <c r="A81" s="1028"/>
      <c r="B81" s="1025"/>
      <c r="C81" s="1025"/>
      <c r="D81" s="1025"/>
      <c r="E81" s="1025"/>
      <c r="F81" s="1025"/>
      <c r="G81" s="1025"/>
      <c r="H81" s="1025"/>
      <c r="I81" s="1025"/>
      <c r="J81" s="1025"/>
      <c r="K81" s="1025"/>
    </row>
    <row r="82" spans="1:11">
      <c r="A82" s="1025"/>
      <c r="B82" s="1025"/>
      <c r="C82" s="1025"/>
      <c r="D82" s="1025"/>
      <c r="E82" s="1025"/>
      <c r="F82" s="1025"/>
      <c r="G82" s="1025"/>
      <c r="H82" s="1025"/>
      <c r="I82" s="1025"/>
      <c r="J82" s="1025"/>
      <c r="K82" s="1025"/>
    </row>
    <row r="83" spans="1:11">
      <c r="A83" s="1025"/>
      <c r="B83" s="1025"/>
      <c r="C83" s="1025"/>
      <c r="D83" s="1025"/>
      <c r="E83" s="1025"/>
      <c r="F83" s="1025"/>
      <c r="G83" s="1025"/>
      <c r="H83" s="1025"/>
      <c r="I83" s="1025"/>
      <c r="J83" s="1025"/>
      <c r="K83" s="1025"/>
    </row>
    <row r="84" spans="1:11">
      <c r="A84" s="1025"/>
      <c r="B84" s="1025"/>
      <c r="C84" s="1025"/>
      <c r="D84" s="1025"/>
      <c r="E84" s="1025"/>
      <c r="F84" s="1025"/>
      <c r="G84" s="1025"/>
      <c r="H84" s="1025"/>
      <c r="I84" s="1025"/>
      <c r="J84" s="1025"/>
      <c r="K84" s="1025"/>
    </row>
    <row r="85" spans="1:11">
      <c r="A85" s="1025"/>
      <c r="B85" s="1025"/>
      <c r="C85" s="1025"/>
      <c r="D85" s="1029"/>
      <c r="E85" s="1029"/>
      <c r="F85" s="1029"/>
      <c r="G85" s="1025"/>
      <c r="H85" s="1025"/>
      <c r="I85" s="1025"/>
      <c r="J85" s="1025"/>
      <c r="K85" s="1025"/>
    </row>
    <row r="86" spans="1:11">
      <c r="A86" s="1025"/>
      <c r="B86" s="1025"/>
      <c r="C86" s="1025"/>
      <c r="D86" s="1005"/>
      <c r="E86" s="1005"/>
      <c r="F86" s="1005"/>
      <c r="G86" s="1025"/>
      <c r="H86" s="1025"/>
      <c r="I86" s="1025"/>
      <c r="J86" s="1025"/>
      <c r="K86" s="1025"/>
    </row>
    <row r="87" spans="1:11">
      <c r="A87" s="1025"/>
      <c r="B87" s="1025"/>
      <c r="C87" s="1025"/>
      <c r="D87" s="1029"/>
      <c r="E87" s="1029"/>
      <c r="F87" s="1029"/>
      <c r="G87" s="1025"/>
      <c r="H87" s="1025"/>
      <c r="I87" s="1025"/>
      <c r="J87" s="1025"/>
      <c r="K87" s="1025"/>
    </row>
    <row r="88" spans="1:11">
      <c r="A88" s="1025"/>
      <c r="B88" s="1025"/>
      <c r="C88" s="1025"/>
      <c r="D88" s="1025"/>
      <c r="E88" s="1025"/>
      <c r="F88" s="1025"/>
      <c r="G88" s="1025"/>
      <c r="H88" s="1025"/>
      <c r="I88" s="1025"/>
      <c r="J88" s="1025"/>
      <c r="K88" s="1025"/>
    </row>
    <row r="89" spans="1:11">
      <c r="A89" s="1025"/>
      <c r="B89" s="1025"/>
      <c r="C89" s="1025"/>
      <c r="D89" s="1025"/>
      <c r="E89" s="1025"/>
      <c r="F89" s="1025"/>
      <c r="G89" s="1025"/>
      <c r="H89" s="1025"/>
      <c r="I89" s="1025"/>
      <c r="J89" s="1025"/>
      <c r="K89" s="1025"/>
    </row>
    <row r="90" spans="1:11">
      <c r="A90" s="1025"/>
      <c r="B90" s="1025"/>
      <c r="C90" s="1025"/>
      <c r="D90" s="1025"/>
      <c r="E90" s="1025"/>
      <c r="F90" s="1025"/>
      <c r="G90" s="1025"/>
      <c r="H90" s="1025"/>
      <c r="I90" s="1025"/>
      <c r="J90" s="1025"/>
      <c r="K90" s="1025"/>
    </row>
    <row r="91" spans="1:11">
      <c r="A91" s="1025"/>
      <c r="C91" s="1025"/>
      <c r="D91" s="1025"/>
      <c r="E91" s="1025"/>
      <c r="F91" s="1025"/>
      <c r="G91" s="1025"/>
      <c r="H91" s="1025"/>
      <c r="I91" s="1025"/>
      <c r="J91" s="1025"/>
      <c r="K91" s="1025"/>
    </row>
    <row r="92" spans="1:11">
      <c r="A92" s="1025"/>
      <c r="B92" s="1025"/>
      <c r="C92" s="1025"/>
      <c r="D92" s="1025"/>
      <c r="E92" s="1025"/>
      <c r="F92" s="1025"/>
      <c r="G92" s="1025"/>
      <c r="H92" s="1025"/>
      <c r="I92" s="1025"/>
      <c r="J92" s="1025"/>
      <c r="K92" s="1025"/>
    </row>
    <row r="93" spans="1:11">
      <c r="A93" s="1025"/>
      <c r="B93" s="1025"/>
      <c r="C93" s="1025"/>
      <c r="D93" s="1025"/>
      <c r="E93" s="1025"/>
      <c r="F93" s="1025"/>
      <c r="G93" s="1025"/>
      <c r="H93" s="1025"/>
      <c r="I93" s="1025"/>
      <c r="J93" s="1025"/>
      <c r="K93" s="1025"/>
    </row>
  </sheetData>
  <mergeCells count="11">
    <mergeCell ref="B53:I54"/>
    <mergeCell ref="I9:J9"/>
    <mergeCell ref="K9:M9"/>
    <mergeCell ref="N9:O9"/>
    <mergeCell ref="P9:Q9"/>
    <mergeCell ref="P11:Q11"/>
    <mergeCell ref="R16:R17"/>
    <mergeCell ref="B33:C33"/>
    <mergeCell ref="B36:J41"/>
    <mergeCell ref="B45:J46"/>
    <mergeCell ref="B50:I51"/>
  </mergeCells>
  <pageMargins left="0.7" right="0.7" top="0.75" bottom="0.75" header="0.3" footer="0.3"/>
  <pageSetup scale="4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dimension ref="A1:R60"/>
  <sheetViews>
    <sheetView tabSelected="1" workbookViewId="0">
      <selection activeCell="B7" sqref="B7"/>
    </sheetView>
  </sheetViews>
  <sheetFormatPr defaultColWidth="11.85546875" defaultRowHeight="12.75"/>
  <cols>
    <col min="1" max="1" width="9" style="1042" customWidth="1"/>
    <col min="2" max="2" width="15" style="1037" bestFit="1" customWidth="1"/>
    <col min="3" max="3" width="4.140625" style="1037" customWidth="1"/>
    <col min="4" max="4" width="21" style="1037" bestFit="1" customWidth="1"/>
    <col min="5" max="5" width="29.7109375" style="1037" bestFit="1" customWidth="1"/>
    <col min="6" max="6" width="21.42578125" style="1037" customWidth="1"/>
    <col min="7" max="7" width="2.140625" style="1037" customWidth="1"/>
    <col min="8" max="8" width="16.7109375" style="1037" customWidth="1"/>
    <col min="9" max="9" width="2.7109375" style="1037" customWidth="1"/>
    <col min="10" max="10" width="17.42578125" style="1037" customWidth="1"/>
    <col min="11" max="11" width="3.5703125" style="1037" customWidth="1"/>
    <col min="12" max="12" width="20.5703125" style="1037" customWidth="1"/>
    <col min="13" max="13" width="16.7109375" style="1037" customWidth="1"/>
    <col min="14" max="14" width="3.5703125" style="1037" customWidth="1"/>
    <col min="15" max="15" width="19.140625" style="1037" bestFit="1" customWidth="1"/>
    <col min="16" max="16" width="16" style="1040" bestFit="1" customWidth="1"/>
    <col min="17" max="17" width="15.28515625" style="1037" bestFit="1" customWidth="1"/>
    <col min="18" max="16384" width="11.85546875" style="1037"/>
  </cols>
  <sheetData>
    <row r="1" spans="1:18" ht="15">
      <c r="A1" s="1036" t="s">
        <v>924</v>
      </c>
      <c r="L1" s="1038"/>
      <c r="M1" s="1038"/>
      <c r="O1" s="1039" t="s">
        <v>925</v>
      </c>
    </row>
    <row r="2" spans="1:18">
      <c r="A2" s="1041" t="s">
        <v>926</v>
      </c>
      <c r="O2" s="981" t="s">
        <v>927</v>
      </c>
    </row>
    <row r="3" spans="1:18">
      <c r="A3" s="1042" t="s">
        <v>928</v>
      </c>
      <c r="O3" s="981" t="s">
        <v>929</v>
      </c>
    </row>
    <row r="4" spans="1:18">
      <c r="A4" s="1042" t="s">
        <v>930</v>
      </c>
      <c r="O4" s="1039" t="s">
        <v>931</v>
      </c>
    </row>
    <row r="5" spans="1:18">
      <c r="A5" s="1042" t="s">
        <v>932</v>
      </c>
    </row>
    <row r="6" spans="1:18">
      <c r="A6" s="1042" t="s">
        <v>858</v>
      </c>
    </row>
    <row r="7" spans="1:18">
      <c r="A7" s="1164" t="s">
        <v>933</v>
      </c>
      <c r="B7" s="1164"/>
      <c r="C7" s="1164"/>
      <c r="D7" s="1164"/>
      <c r="E7" s="1164"/>
      <c r="F7" s="1164"/>
      <c r="G7" s="1164"/>
      <c r="H7" s="1164"/>
      <c r="I7" s="1164"/>
      <c r="J7" s="1164"/>
      <c r="K7" s="1164"/>
      <c r="L7" s="1164"/>
      <c r="M7" s="1043"/>
    </row>
    <row r="9" spans="1:18">
      <c r="A9" s="1044" t="s">
        <v>448</v>
      </c>
      <c r="B9" s="1045" t="s">
        <v>449</v>
      </c>
      <c r="C9" s="1045"/>
      <c r="D9" s="1045" t="s">
        <v>450</v>
      </c>
      <c r="E9" s="1045" t="s">
        <v>451</v>
      </c>
      <c r="F9" s="1045" t="s">
        <v>452</v>
      </c>
      <c r="G9" s="1045"/>
      <c r="H9" s="1045" t="s">
        <v>934</v>
      </c>
      <c r="I9" s="1045"/>
      <c r="J9" s="1045" t="s">
        <v>454</v>
      </c>
      <c r="K9" s="1045"/>
      <c r="L9" s="1045" t="s">
        <v>935</v>
      </c>
      <c r="M9" s="1045" t="s">
        <v>456</v>
      </c>
      <c r="N9" s="1045"/>
      <c r="O9" s="1045" t="s">
        <v>936</v>
      </c>
      <c r="R9" s="1165"/>
    </row>
    <row r="10" spans="1:18">
      <c r="F10" s="1047"/>
      <c r="G10" s="1047"/>
      <c r="H10" s="1047"/>
      <c r="R10" s="1165"/>
    </row>
    <row r="11" spans="1:18" ht="38.25">
      <c r="A11" s="1048" t="s">
        <v>937</v>
      </c>
      <c r="B11" s="1037" t="s">
        <v>938</v>
      </c>
      <c r="D11" s="1046" t="s">
        <v>939</v>
      </c>
      <c r="E11" s="1045" t="s">
        <v>871</v>
      </c>
      <c r="F11" s="1046" t="s">
        <v>940</v>
      </c>
      <c r="G11" s="1046"/>
      <c r="H11" s="1046" t="s">
        <v>941</v>
      </c>
      <c r="J11" s="1046" t="s">
        <v>942</v>
      </c>
      <c r="L11" s="1046" t="s">
        <v>943</v>
      </c>
      <c r="M11" s="1046" t="s">
        <v>944</v>
      </c>
      <c r="O11" s="1046" t="s">
        <v>945</v>
      </c>
    </row>
    <row r="12" spans="1:18">
      <c r="D12" s="1040"/>
      <c r="E12" s="1040"/>
      <c r="F12" s="1040"/>
      <c r="G12" s="1040"/>
      <c r="H12" s="1040"/>
      <c r="I12" s="1040"/>
      <c r="J12" s="1040"/>
      <c r="K12" s="1040"/>
      <c r="L12" s="1049"/>
      <c r="M12" s="1049"/>
      <c r="N12" s="1040"/>
      <c r="O12" s="1040"/>
    </row>
    <row r="13" spans="1:18">
      <c r="A13" s="1044">
        <v>1</v>
      </c>
      <c r="B13" s="1050" t="s">
        <v>946</v>
      </c>
      <c r="D13" s="1040">
        <v>622932</v>
      </c>
      <c r="E13" s="1040" t="s">
        <v>947</v>
      </c>
      <c r="F13" s="1049">
        <v>248904.38</v>
      </c>
      <c r="G13" s="1051"/>
      <c r="H13" s="1052">
        <f>+F13/D13</f>
        <v>0.39956910224550996</v>
      </c>
      <c r="J13" s="1049">
        <f>-F13</f>
        <v>-248904.38</v>
      </c>
      <c r="K13" s="1040"/>
      <c r="L13" s="1049">
        <f>+F13+J13</f>
        <v>0</v>
      </c>
      <c r="M13" s="1049"/>
      <c r="N13" s="1040"/>
      <c r="O13" s="1040">
        <f>+D13-L13</f>
        <v>622932</v>
      </c>
    </row>
    <row r="14" spans="1:18">
      <c r="A14" s="1044"/>
      <c r="B14" s="1050"/>
      <c r="D14" s="1040"/>
      <c r="E14" s="1040"/>
      <c r="F14" s="1053"/>
      <c r="G14" s="1054"/>
      <c r="H14" s="1052"/>
      <c r="J14" s="1049"/>
      <c r="K14" s="1040"/>
      <c r="L14" s="1049"/>
      <c r="M14" s="1049"/>
      <c r="N14" s="1040"/>
      <c r="O14" s="1040"/>
    </row>
    <row r="15" spans="1:18">
      <c r="A15" s="1044">
        <f>+A13+1</f>
        <v>2</v>
      </c>
      <c r="B15" s="1050" t="s">
        <v>948</v>
      </c>
      <c r="D15" s="1040">
        <v>-14692002</v>
      </c>
      <c r="E15" s="1040" t="s">
        <v>949</v>
      </c>
      <c r="F15" s="1049">
        <v>-5876803.2699999996</v>
      </c>
      <c r="G15" s="1054"/>
      <c r="H15" s="1052">
        <f>+F15/D15</f>
        <v>0.40000016811868117</v>
      </c>
      <c r="J15" s="1049"/>
      <c r="K15" s="1040"/>
      <c r="L15" s="1049">
        <f>+F15+J15-L16</f>
        <v>-5667536.2699999996</v>
      </c>
      <c r="M15" s="1049" t="s">
        <v>882</v>
      </c>
      <c r="N15" s="1040"/>
      <c r="O15" s="1055">
        <f>+D15-L15-L16</f>
        <v>-8815198.7300000004</v>
      </c>
      <c r="P15" s="1037"/>
    </row>
    <row r="16" spans="1:18">
      <c r="A16" s="1044"/>
      <c r="B16" s="1050"/>
      <c r="D16" s="1040"/>
      <c r="E16" s="1040"/>
      <c r="G16" s="1056"/>
      <c r="H16" s="1056"/>
      <c r="J16" s="1049"/>
      <c r="K16" s="1040"/>
      <c r="L16" s="1049">
        <v>-209267</v>
      </c>
      <c r="M16" s="1049" t="s">
        <v>886</v>
      </c>
      <c r="N16" s="1040"/>
      <c r="O16" s="1055"/>
      <c r="P16" s="1037"/>
    </row>
    <row r="17" spans="1:16">
      <c r="A17" s="1044">
        <f>+A15+1</f>
        <v>3</v>
      </c>
      <c r="B17" s="1050" t="s">
        <v>950</v>
      </c>
      <c r="D17" s="1040">
        <v>-834512</v>
      </c>
      <c r="E17" s="1040" t="s">
        <v>951</v>
      </c>
      <c r="O17" s="1055"/>
      <c r="P17" s="1037"/>
    </row>
    <row r="18" spans="1:16" ht="15">
      <c r="A18" s="1044">
        <f>+A17+1</f>
        <v>4</v>
      </c>
      <c r="B18" s="1050"/>
      <c r="D18" s="1057">
        <f>D17</f>
        <v>-834512</v>
      </c>
      <c r="E18" s="1040" t="s">
        <v>952</v>
      </c>
      <c r="F18" s="1058"/>
      <c r="G18" s="1054"/>
      <c r="H18" s="1054"/>
      <c r="J18" s="1049"/>
      <c r="K18" s="1040"/>
      <c r="L18" s="1040"/>
      <c r="M18" s="1040"/>
      <c r="N18" s="1040"/>
      <c r="O18" s="1055"/>
      <c r="P18" s="1037"/>
    </row>
    <row r="19" spans="1:16">
      <c r="A19" s="1044">
        <f>+A18+1</f>
        <v>5</v>
      </c>
      <c r="B19" s="1050" t="s">
        <v>953</v>
      </c>
      <c r="D19" s="1040">
        <f>+D17-D18</f>
        <v>0</v>
      </c>
      <c r="E19" s="1040"/>
      <c r="F19" s="1049">
        <v>0</v>
      </c>
      <c r="G19" s="1054"/>
      <c r="H19" s="1052" t="s">
        <v>877</v>
      </c>
      <c r="J19" s="1049">
        <f>-J13</f>
        <v>248904.38</v>
      </c>
      <c r="K19" s="1040"/>
      <c r="L19" s="1040">
        <f>+F19+J19</f>
        <v>248904.38</v>
      </c>
      <c r="M19" s="1040" t="s">
        <v>886</v>
      </c>
      <c r="N19" s="1040"/>
      <c r="O19" s="1055">
        <f>+D19-L19</f>
        <v>-248904.38</v>
      </c>
      <c r="P19" s="1037"/>
    </row>
    <row r="20" spans="1:16">
      <c r="D20" s="1040"/>
      <c r="E20" s="1040"/>
      <c r="F20" s="1040"/>
      <c r="G20" s="1059"/>
      <c r="H20" s="1059"/>
      <c r="J20" s="1040"/>
      <c r="K20" s="1040"/>
      <c r="L20" s="1040"/>
      <c r="M20" s="1040"/>
      <c r="N20" s="1040"/>
      <c r="O20" s="1055"/>
      <c r="P20" s="1037"/>
    </row>
    <row r="21" spans="1:16">
      <c r="A21" s="1044">
        <f>+A19+1</f>
        <v>6</v>
      </c>
      <c r="B21" s="1037" t="s">
        <v>420</v>
      </c>
      <c r="D21" s="1060">
        <f>+D19+D15+D13</f>
        <v>-14069070</v>
      </c>
      <c r="E21" s="1040"/>
      <c r="F21" s="1060">
        <f>SUM(F13:F19)</f>
        <v>-5627898.8899999997</v>
      </c>
      <c r="J21" s="1060">
        <f>SUM(J13:J19)</f>
        <v>0</v>
      </c>
      <c r="K21" s="1040"/>
      <c r="L21" s="1060">
        <f>SUM(L13:L19)</f>
        <v>-5627898.8899999997</v>
      </c>
      <c r="M21" s="1061"/>
      <c r="N21" s="1040"/>
      <c r="O21" s="1060">
        <f>SUM(O13:O19)</f>
        <v>-8441171.1100000013</v>
      </c>
      <c r="P21" s="1037"/>
    </row>
    <row r="22" spans="1:16">
      <c r="D22" s="1040"/>
      <c r="E22" s="1040"/>
      <c r="F22" s="1062"/>
      <c r="G22" s="1062"/>
      <c r="H22" s="1062"/>
      <c r="J22" s="1040"/>
      <c r="K22" s="1040"/>
      <c r="L22" s="1040"/>
      <c r="M22" s="1040"/>
      <c r="N22" s="1040"/>
      <c r="O22" s="1040"/>
    </row>
    <row r="23" spans="1:16">
      <c r="G23" s="1054"/>
      <c r="H23" s="1054"/>
      <c r="J23" s="1040"/>
      <c r="K23" s="1040"/>
      <c r="N23" s="1040"/>
      <c r="O23" s="1040"/>
    </row>
    <row r="24" spans="1:16" ht="15" customHeight="1">
      <c r="A24" s="1166" t="s">
        <v>954</v>
      </c>
      <c r="B24" s="1166"/>
      <c r="C24" s="1166"/>
      <c r="D24" s="1166"/>
      <c r="E24" s="1166"/>
      <c r="F24" s="1166"/>
      <c r="G24" s="1166"/>
      <c r="H24" s="1166"/>
      <c r="I24" s="1166"/>
      <c r="J24" s="1040"/>
      <c r="K24" s="1040"/>
      <c r="N24" s="1040"/>
      <c r="O24" s="1040"/>
    </row>
    <row r="25" spans="1:16">
      <c r="A25" s="1166"/>
      <c r="B25" s="1166"/>
      <c r="C25" s="1166"/>
      <c r="D25" s="1166"/>
      <c r="E25" s="1166"/>
      <c r="F25" s="1166"/>
      <c r="G25" s="1166"/>
      <c r="H25" s="1166"/>
      <c r="I25" s="1166"/>
      <c r="J25" s="1040"/>
      <c r="K25" s="1040"/>
      <c r="N25" s="1040"/>
      <c r="O25" s="1040"/>
    </row>
    <row r="26" spans="1:16">
      <c r="A26" s="1166"/>
      <c r="B26" s="1166"/>
      <c r="C26" s="1166"/>
      <c r="D26" s="1166"/>
      <c r="E26" s="1166"/>
      <c r="F26" s="1166"/>
      <c r="G26" s="1166"/>
      <c r="H26" s="1166"/>
      <c r="I26" s="1166"/>
      <c r="J26" s="1040"/>
      <c r="K26" s="1040"/>
      <c r="N26" s="1040"/>
      <c r="O26" s="1040"/>
    </row>
    <row r="27" spans="1:16">
      <c r="A27" s="1048"/>
      <c r="B27" s="1063"/>
      <c r="C27" s="1063"/>
      <c r="D27" s="1063"/>
      <c r="E27" s="1063"/>
      <c r="F27" s="1063"/>
      <c r="G27" s="1063"/>
      <c r="H27" s="1063"/>
      <c r="J27" s="1040"/>
      <c r="K27" s="1040"/>
      <c r="N27" s="1040"/>
      <c r="O27" s="1040"/>
    </row>
    <row r="28" spans="1:16">
      <c r="A28" s="1048" t="s">
        <v>955</v>
      </c>
      <c r="B28" s="1163" t="s">
        <v>956</v>
      </c>
      <c r="C28" s="1163"/>
      <c r="D28" s="1163"/>
      <c r="E28" s="1163"/>
      <c r="F28" s="1163"/>
      <c r="G28" s="1163"/>
      <c r="H28" s="1163"/>
      <c r="J28" s="1040"/>
      <c r="K28" s="1040"/>
      <c r="N28" s="1040"/>
      <c r="O28" s="1040"/>
    </row>
    <row r="29" spans="1:16">
      <c r="A29" s="1048"/>
      <c r="B29" s="1163"/>
      <c r="C29" s="1163"/>
      <c r="D29" s="1163"/>
      <c r="E29" s="1163"/>
      <c r="F29" s="1163"/>
      <c r="G29" s="1163"/>
      <c r="H29" s="1163"/>
      <c r="J29" s="1040"/>
      <c r="K29" s="1040"/>
      <c r="N29" s="1040"/>
      <c r="O29" s="1040"/>
    </row>
    <row r="30" spans="1:16">
      <c r="A30" s="1048"/>
      <c r="J30" s="1040"/>
      <c r="K30" s="1040"/>
      <c r="N30" s="1040"/>
      <c r="O30" s="1040"/>
    </row>
    <row r="31" spans="1:16">
      <c r="A31" s="1048"/>
      <c r="J31" s="1040"/>
      <c r="K31" s="1040"/>
      <c r="N31" s="1040"/>
      <c r="O31" s="1040"/>
    </row>
    <row r="32" spans="1:16">
      <c r="A32" s="1048" t="s">
        <v>957</v>
      </c>
      <c r="B32" s="1037" t="s">
        <v>956</v>
      </c>
      <c r="J32" s="1040"/>
      <c r="K32" s="1040"/>
      <c r="N32" s="1040"/>
      <c r="O32" s="1040"/>
    </row>
    <row r="33" spans="1:16">
      <c r="A33" s="1048"/>
      <c r="J33" s="1040"/>
      <c r="K33" s="1040"/>
      <c r="N33" s="1040"/>
      <c r="O33" s="1040"/>
    </row>
    <row r="34" spans="1:16">
      <c r="A34" s="1048" t="s">
        <v>958</v>
      </c>
      <c r="B34" s="1163" t="s">
        <v>959</v>
      </c>
      <c r="C34" s="1163"/>
      <c r="D34" s="1163"/>
      <c r="E34" s="1163"/>
      <c r="F34" s="1163"/>
      <c r="G34" s="1163"/>
      <c r="H34" s="1163"/>
      <c r="I34" s="1163"/>
    </row>
    <row r="35" spans="1:16">
      <c r="A35" s="1048"/>
      <c r="B35" s="1163"/>
      <c r="C35" s="1163"/>
      <c r="D35" s="1163"/>
      <c r="E35" s="1163"/>
      <c r="F35" s="1163"/>
      <c r="G35" s="1163"/>
      <c r="H35" s="1163"/>
      <c r="I35" s="1163"/>
    </row>
    <row r="36" spans="1:16">
      <c r="A36" s="1037"/>
    </row>
    <row r="37" spans="1:16" ht="12.75" customHeight="1">
      <c r="A37" s="1048" t="s">
        <v>960</v>
      </c>
      <c r="B37" s="1167" t="s">
        <v>961</v>
      </c>
      <c r="C37" s="1167"/>
      <c r="D37" s="1167"/>
      <c r="E37" s="1167"/>
      <c r="F37" s="1167"/>
    </row>
    <row r="38" spans="1:16">
      <c r="A38" s="1048"/>
      <c r="B38" s="1167"/>
      <c r="C38" s="1167"/>
      <c r="D38" s="1167"/>
      <c r="E38" s="1167"/>
      <c r="F38" s="1167"/>
    </row>
    <row r="41" spans="1:16">
      <c r="A41" s="1163"/>
      <c r="B41" s="1163"/>
      <c r="C41" s="1163"/>
      <c r="D41" s="1163"/>
      <c r="E41" s="1163"/>
      <c r="F41" s="1163"/>
      <c r="G41" s="1063"/>
      <c r="H41" s="1063"/>
    </row>
    <row r="42" spans="1:16">
      <c r="A42" s="1163"/>
      <c r="B42" s="1163"/>
      <c r="C42" s="1163"/>
      <c r="D42" s="1163"/>
      <c r="E42" s="1163"/>
      <c r="F42" s="1163"/>
      <c r="G42" s="1063"/>
      <c r="H42" s="1063"/>
    </row>
    <row r="43" spans="1:16" ht="9.9499999999999993" customHeight="1"/>
    <row r="45" spans="1:16">
      <c r="A45" s="1037"/>
      <c r="P45" s="1037"/>
    </row>
    <row r="46" spans="1:16">
      <c r="A46" s="1037"/>
      <c r="P46" s="1037"/>
    </row>
    <row r="47" spans="1:16">
      <c r="A47" s="1037"/>
      <c r="P47" s="1037"/>
    </row>
    <row r="48" spans="1:16">
      <c r="A48" s="1037"/>
      <c r="P48" s="1037"/>
    </row>
    <row r="49" s="1037" customFormat="1"/>
    <row r="50" s="1037" customFormat="1"/>
    <row r="51" s="1037" customFormat="1"/>
    <row r="52" s="1037" customFormat="1"/>
    <row r="53" s="1037" customFormat="1"/>
    <row r="54" s="1037" customFormat="1"/>
    <row r="55" s="1037" customFormat="1"/>
    <row r="56" s="1037" customFormat="1"/>
    <row r="57" s="1037" customFormat="1"/>
    <row r="58" s="1037" customFormat="1"/>
    <row r="59" s="1037" customFormat="1"/>
    <row r="60" s="1037" customFormat="1"/>
  </sheetData>
  <mergeCells count="7">
    <mergeCell ref="A41:F42"/>
    <mergeCell ref="A7:L7"/>
    <mergeCell ref="R9:R10"/>
    <mergeCell ref="A24:I26"/>
    <mergeCell ref="B28:H29"/>
    <mergeCell ref="B34:I35"/>
    <mergeCell ref="B37:F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O107"/>
  <sheetViews>
    <sheetView tabSelected="1" view="pageBreakPreview" zoomScale="70" zoomScaleNormal="75" zoomScaleSheetLayoutView="70" workbookViewId="0">
      <selection activeCell="B7" sqref="B7"/>
    </sheetView>
  </sheetViews>
  <sheetFormatPr defaultColWidth="11.42578125" defaultRowHeight="12.75"/>
  <cols>
    <col min="1" max="1" width="8.140625" style="303" customWidth="1"/>
    <col min="2" max="2" width="12.140625" style="302" customWidth="1"/>
    <col min="3" max="3" width="41.7109375" style="302" customWidth="1"/>
    <col min="4" max="4" width="30" style="302" customWidth="1"/>
    <col min="5" max="5" width="22.140625" style="302" customWidth="1"/>
    <col min="6" max="6" width="1" style="302" customWidth="1"/>
    <col min="7" max="7" width="20.85546875" style="302" customWidth="1"/>
    <col min="8" max="8" width="1" style="302" customWidth="1"/>
    <col min="9" max="9" width="19.140625" style="302" customWidth="1"/>
    <col min="10" max="10" width="16.7109375" style="302" customWidth="1"/>
    <col min="11" max="11" width="15.28515625" style="302" customWidth="1"/>
    <col min="12" max="12" width="34" style="302" customWidth="1"/>
    <col min="13" max="13" width="21.28515625" style="302" customWidth="1"/>
    <col min="14" max="14" width="13.42578125" style="302" customWidth="1"/>
    <col min="15" max="15" width="13.7109375" style="302" customWidth="1"/>
    <col min="16" max="16384" width="11.42578125" style="302"/>
  </cols>
  <sheetData>
    <row r="1" spans="1:15" ht="15.75">
      <c r="A1" s="744" t="s">
        <v>416</v>
      </c>
    </row>
    <row r="2" spans="1:15" ht="15.75">
      <c r="A2" s="744" t="s">
        <v>416</v>
      </c>
    </row>
    <row r="3" spans="1:15" ht="15">
      <c r="A3" s="1146" t="str">
        <f>TCOS!$F$5</f>
        <v>AEPTCo subsidiaries in PJM</v>
      </c>
      <c r="B3" s="1146" t="str">
        <f>TCOS!$F$5</f>
        <v>AEPTCo subsidiaries in PJM</v>
      </c>
      <c r="C3" s="1146" t="str">
        <f>TCOS!$F$5</f>
        <v>AEPTCo subsidiaries in PJM</v>
      </c>
      <c r="D3" s="1146" t="str">
        <f>TCOS!$F$5</f>
        <v>AEPTCo subsidiaries in PJM</v>
      </c>
      <c r="E3" s="1146" t="str">
        <f>TCOS!$F$5</f>
        <v>AEPTCo subsidiaries in PJM</v>
      </c>
      <c r="F3" s="1146" t="str">
        <f>TCOS!$F$5</f>
        <v>AEPTCo subsidiaries in PJM</v>
      </c>
      <c r="G3" s="1146" t="str">
        <f>TCOS!$F$5</f>
        <v>AEPTCo subsidiaries in PJM</v>
      </c>
      <c r="H3" s="1146" t="str">
        <f>TCOS!$F$5</f>
        <v>AEPTCo subsidiaries in PJM</v>
      </c>
      <c r="I3" s="1146" t="str">
        <f>TCOS!$F$5</f>
        <v>AEPTCo subsidiaries in PJM</v>
      </c>
      <c r="J3" s="1146" t="str">
        <f>TCOS!$F$5</f>
        <v>AEPTCo subsidiaries in PJM</v>
      </c>
      <c r="K3" s="1146" t="str">
        <f>TCOS!$F$5</f>
        <v>AEPTCo subsidiaries in PJM</v>
      </c>
      <c r="L3" s="1146" t="str">
        <f>TCOS!$F$5</f>
        <v>AEPTCo subsidiaries in PJM</v>
      </c>
      <c r="M3" s="17"/>
      <c r="N3" s="17"/>
      <c r="O3" s="17"/>
    </row>
    <row r="4" spans="1:15" ht="15">
      <c r="A4" s="1147" t="str">
        <f>"Cost of Service Formula Rate Using Actual/Projected FF1 Balances"</f>
        <v>Cost of Service Formula Rate Using Actual/Projected FF1 Balances</v>
      </c>
      <c r="B4" s="1147"/>
      <c r="C4" s="1147"/>
      <c r="D4" s="1147"/>
      <c r="E4" s="1147"/>
      <c r="F4" s="1147"/>
      <c r="G4" s="1147"/>
      <c r="H4" s="1147"/>
      <c r="I4" s="1147"/>
      <c r="J4" s="1147"/>
      <c r="K4" s="1147"/>
      <c r="L4" s="1147"/>
      <c r="M4" s="45"/>
      <c r="N4" s="45"/>
      <c r="O4" s="45"/>
    </row>
    <row r="5" spans="1:15" ht="15">
      <c r="A5" s="1147" t="s">
        <v>291</v>
      </c>
      <c r="B5" s="1147"/>
      <c r="C5" s="1147"/>
      <c r="D5" s="1147"/>
      <c r="E5" s="1147"/>
      <c r="F5" s="1147"/>
      <c r="G5" s="1147"/>
      <c r="H5" s="1147"/>
      <c r="I5" s="1147"/>
      <c r="J5" s="1147"/>
      <c r="K5" s="1147"/>
      <c r="L5" s="1147"/>
      <c r="M5" s="44"/>
      <c r="N5" s="44"/>
      <c r="O5" s="44"/>
    </row>
    <row r="6" spans="1:15" ht="15">
      <c r="A6" s="1154" t="str">
        <f>TCOS!F9</f>
        <v>AEP Kentucky Transmission Company</v>
      </c>
      <c r="B6" s="1154"/>
      <c r="C6" s="1154"/>
      <c r="D6" s="1154"/>
      <c r="E6" s="1154"/>
      <c r="F6" s="1154"/>
      <c r="G6" s="1154"/>
      <c r="H6" s="1154"/>
      <c r="I6" s="1154"/>
      <c r="J6" s="1154"/>
      <c r="K6" s="1154"/>
      <c r="L6" s="1154"/>
      <c r="M6" s="2"/>
      <c r="N6" s="2"/>
      <c r="O6" s="2"/>
    </row>
    <row r="7" spans="1:15" ht="15">
      <c r="A7" s="2"/>
      <c r="B7" s="2"/>
      <c r="C7" s="2"/>
      <c r="D7" s="2"/>
      <c r="E7" s="2"/>
      <c r="F7" s="2"/>
      <c r="G7" s="2"/>
      <c r="H7"/>
    </row>
    <row r="8" spans="1:15" ht="12.75" customHeight="1">
      <c r="A8" s="313"/>
      <c r="B8" s="313" t="s">
        <v>462</v>
      </c>
      <c r="C8" s="313" t="s">
        <v>463</v>
      </c>
      <c r="D8" s="313" t="s">
        <v>331</v>
      </c>
      <c r="E8" s="313" t="s">
        <v>465</v>
      </c>
      <c r="F8" s="313"/>
      <c r="G8" s="313" t="s">
        <v>385</v>
      </c>
      <c r="H8" s="313"/>
      <c r="I8" s="313" t="s">
        <v>386</v>
      </c>
      <c r="J8" s="313" t="s">
        <v>387</v>
      </c>
      <c r="K8" s="313" t="s">
        <v>392</v>
      </c>
      <c r="L8" s="313" t="s">
        <v>296</v>
      </c>
      <c r="M8" s="313"/>
      <c r="N8" s="313"/>
      <c r="O8" s="313"/>
    </row>
    <row r="9" spans="1:15">
      <c r="A9" s="311"/>
    </row>
    <row r="10" spans="1:15" ht="18">
      <c r="A10" s="306"/>
      <c r="B10" s="1171" t="s">
        <v>499</v>
      </c>
      <c r="C10" s="1171"/>
      <c r="D10" s="1171"/>
      <c r="E10" s="1171"/>
      <c r="F10" s="1171"/>
      <c r="G10" s="1171"/>
      <c r="H10" s="1171"/>
      <c r="I10" s="1171"/>
      <c r="J10" s="1171"/>
      <c r="K10" s="1171"/>
    </row>
    <row r="11" spans="1:15">
      <c r="A11" s="306"/>
      <c r="I11"/>
      <c r="J11"/>
    </row>
    <row r="12" spans="1:15" ht="12.75" customHeight="1">
      <c r="A12" s="304" t="s">
        <v>469</v>
      </c>
      <c r="B12" s="306"/>
      <c r="C12" s="314"/>
      <c r="D12" s="315"/>
      <c r="E12" s="1168" t="str">
        <f>"Balance @ December 31, "&amp;TCOS!L4&amp;""</f>
        <v>Balance @ December 31, 2025</v>
      </c>
      <c r="F12" s="315"/>
      <c r="G12" s="1168" t="str">
        <f>"Balance @ December 31, "&amp;TCOS!L4-1&amp;""</f>
        <v>Balance @ December 31, 2024</v>
      </c>
      <c r="H12" s="316"/>
      <c r="I12" s="1173" t="str">
        <f>"Average Balance for "&amp;TCOS!L4&amp;""</f>
        <v>Average Balance for 2025</v>
      </c>
      <c r="J12" s="3"/>
      <c r="L12" s="313"/>
    </row>
    <row r="13" spans="1:15">
      <c r="A13" s="304" t="s">
        <v>407</v>
      </c>
      <c r="B13" s="303"/>
      <c r="C13" s="306"/>
      <c r="D13" s="317" t="s">
        <v>498</v>
      </c>
      <c r="E13" s="1169"/>
      <c r="F13" s="318"/>
      <c r="G13" s="1169"/>
      <c r="H13" s="319"/>
      <c r="I13" s="1169"/>
      <c r="J13" s="3"/>
      <c r="K13" s="320"/>
      <c r="L13" s="321"/>
      <c r="M13" s="305"/>
      <c r="N13" s="305"/>
    </row>
    <row r="14" spans="1:15">
      <c r="B14" s="303"/>
      <c r="C14" s="306"/>
      <c r="D14" s="322"/>
      <c r="E14" s="310"/>
      <c r="F14" s="310"/>
      <c r="G14" s="323"/>
      <c r="H14" s="309"/>
      <c r="J14"/>
      <c r="K14" s="320"/>
      <c r="L14" s="321"/>
      <c r="M14" s="305"/>
      <c r="N14" s="305"/>
    </row>
    <row r="15" spans="1:15">
      <c r="A15" s="303">
        <v>1</v>
      </c>
      <c r="B15" s="303"/>
      <c r="D15" s="36"/>
      <c r="E15" s="7"/>
      <c r="F15" s="310"/>
      <c r="G15" s="7"/>
      <c r="H15" s="7"/>
      <c r="I15" s="7"/>
      <c r="K15" s="7"/>
      <c r="L15" s="7"/>
      <c r="M15" s="305"/>
      <c r="N15" s="305"/>
    </row>
    <row r="16" spans="1:15">
      <c r="B16" s="303"/>
      <c r="C16" s="36"/>
      <c r="D16" s="36"/>
      <c r="E16" s="7"/>
      <c r="F16" s="310"/>
      <c r="G16" s="7"/>
      <c r="H16" s="7"/>
      <c r="I16" s="7"/>
      <c r="K16" s="7"/>
      <c r="L16" s="7"/>
      <c r="M16" s="305"/>
      <c r="N16" s="305"/>
    </row>
    <row r="17" spans="1:14">
      <c r="A17" s="303">
        <f>+A15+1</f>
        <v>2</v>
      </c>
      <c r="B17" s="303"/>
      <c r="C17" s="36" t="s">
        <v>324</v>
      </c>
      <c r="D17" s="307" t="s">
        <v>218</v>
      </c>
      <c r="E17" s="966">
        <v>0</v>
      </c>
      <c r="F17" s="310"/>
      <c r="G17" s="966">
        <v>0</v>
      </c>
      <c r="H17" s="7"/>
      <c r="I17" s="308">
        <f>IF(G17="",0,(E17+G17)/2)</f>
        <v>0</v>
      </c>
      <c r="J17"/>
      <c r="K17" s="308"/>
      <c r="L17" s="7"/>
      <c r="M17" s="305"/>
      <c r="N17" s="305"/>
    </row>
    <row r="18" spans="1:14">
      <c r="B18" s="303"/>
      <c r="C18" s="36"/>
      <c r="D18"/>
      <c r="E18"/>
      <c r="F18"/>
      <c r="G18"/>
      <c r="H18"/>
      <c r="I18" s="3"/>
      <c r="J18"/>
      <c r="K18"/>
      <c r="L18" s="7"/>
      <c r="M18" s="305"/>
      <c r="N18" s="305"/>
    </row>
    <row r="19" spans="1:14">
      <c r="A19" s="1096" t="s">
        <v>903</v>
      </c>
      <c r="B19" s="1096"/>
      <c r="C19" s="1097" t="s">
        <v>1009</v>
      </c>
      <c r="D19" s="1098" t="s">
        <v>1010</v>
      </c>
      <c r="E19" s="358"/>
      <c r="F19" s="1099"/>
      <c r="G19" s="358"/>
      <c r="H19" s="1100"/>
      <c r="I19" s="308">
        <f>IF(G19="",0,(E19+G19)/2)</f>
        <v>0</v>
      </c>
      <c r="J19"/>
      <c r="K19"/>
      <c r="L19" s="7"/>
      <c r="M19" s="305"/>
      <c r="N19" s="305"/>
    </row>
    <row r="20" spans="1:14">
      <c r="B20" s="303"/>
      <c r="C20" s="36"/>
      <c r="D20"/>
      <c r="E20"/>
      <c r="F20"/>
      <c r="G20"/>
      <c r="H20"/>
      <c r="I20" s="3"/>
      <c r="J20"/>
      <c r="K20"/>
      <c r="L20" s="7"/>
      <c r="M20" s="305"/>
      <c r="N20" s="305"/>
    </row>
    <row r="21" spans="1:14">
      <c r="A21" s="303">
        <f>+A17+1</f>
        <v>3</v>
      </c>
      <c r="B21" s="303"/>
      <c r="C21" s="36" t="s">
        <v>325</v>
      </c>
      <c r="D21" s="307" t="s">
        <v>219</v>
      </c>
      <c r="E21" s="358"/>
      <c r="F21" s="310"/>
      <c r="G21" s="358"/>
      <c r="H21" s="309"/>
      <c r="I21" s="308">
        <f>IF(G21="",0,(E21+G21)/2)</f>
        <v>0</v>
      </c>
      <c r="J21"/>
      <c r="K21" s="320"/>
      <c r="L21" s="321"/>
      <c r="M21" s="305"/>
      <c r="N21" s="305"/>
    </row>
    <row r="22" spans="1:14">
      <c r="B22" s="303"/>
      <c r="C22" s="36"/>
      <c r="D22" s="307"/>
      <c r="E22"/>
      <c r="F22"/>
      <c r="G22"/>
      <c r="H22"/>
      <c r="I22"/>
      <c r="J22"/>
      <c r="K22" s="320"/>
      <c r="L22" s="321"/>
      <c r="M22" s="305"/>
      <c r="N22" s="305"/>
    </row>
    <row r="23" spans="1:14">
      <c r="A23" s="303">
        <f>+A21+1</f>
        <v>4</v>
      </c>
      <c r="B23" s="303"/>
      <c r="C23" s="36" t="s">
        <v>768</v>
      </c>
      <c r="D23" s="307" t="s">
        <v>220</v>
      </c>
      <c r="E23" s="358"/>
      <c r="F23" s="310"/>
      <c r="G23" s="358"/>
      <c r="H23" s="309"/>
      <c r="I23" s="308">
        <f>IF(G23="",0,(E23+G23)/2)</f>
        <v>0</v>
      </c>
      <c r="J23"/>
      <c r="K23" s="320"/>
      <c r="L23" s="321"/>
      <c r="M23" s="305"/>
      <c r="N23" s="305"/>
    </row>
    <row r="24" spans="1:14">
      <c r="B24" s="303"/>
      <c r="C24" s="306"/>
      <c r="D24" s="322"/>
      <c r="E24" s="310"/>
      <c r="F24" s="310"/>
      <c r="H24" s="309"/>
      <c r="J24"/>
      <c r="K24" s="320"/>
      <c r="L24" s="321"/>
      <c r="M24" s="305"/>
      <c r="N24" s="305"/>
    </row>
    <row r="25" spans="1:14">
      <c r="A25" s="324"/>
      <c r="B25" s="324"/>
      <c r="C25" s="325"/>
      <c r="D25" s="326"/>
      <c r="E25" s="327"/>
      <c r="F25" s="327"/>
      <c r="G25" s="328"/>
      <c r="H25" s="329"/>
      <c r="I25" s="328"/>
      <c r="J25" s="330"/>
      <c r="K25" s="331"/>
      <c r="L25" s="332"/>
      <c r="M25" s="305"/>
      <c r="N25" s="305"/>
    </row>
    <row r="26" spans="1:14" ht="18">
      <c r="B26" s="1171" t="s">
        <v>769</v>
      </c>
      <c r="C26" s="1171"/>
      <c r="D26" s="1171"/>
      <c r="E26" s="1171"/>
      <c r="F26" s="1171"/>
      <c r="G26" s="1171"/>
      <c r="H26" s="1171"/>
      <c r="I26" s="1171"/>
      <c r="J26" s="1171"/>
      <c r="K26" s="1171"/>
      <c r="L26" s="321"/>
      <c r="M26" s="305"/>
      <c r="N26" s="305"/>
    </row>
    <row r="27" spans="1:14" ht="12.75" customHeight="1">
      <c r="B27" s="333"/>
      <c r="C27" s="306"/>
      <c r="D27" s="7"/>
      <c r="E27" s="334"/>
      <c r="G27" s="334" t="s">
        <v>388</v>
      </c>
      <c r="I27" s="4" t="s">
        <v>417</v>
      </c>
      <c r="J27" s="4" t="s">
        <v>417</v>
      </c>
      <c r="K27" s="4" t="s">
        <v>479</v>
      </c>
      <c r="L27" s="321"/>
      <c r="M27" s="305"/>
      <c r="N27" s="305"/>
    </row>
    <row r="28" spans="1:14" ht="12.75" customHeight="1">
      <c r="B28" s="333"/>
      <c r="C28" s="306"/>
      <c r="D28" s="335" t="s">
        <v>297</v>
      </c>
      <c r="E28" s="4" t="s">
        <v>327</v>
      </c>
      <c r="G28" s="4" t="s">
        <v>417</v>
      </c>
      <c r="I28" s="4" t="s">
        <v>317</v>
      </c>
      <c r="J28" s="4" t="s">
        <v>461</v>
      </c>
      <c r="K28" s="4" t="s">
        <v>480</v>
      </c>
      <c r="L28" s="321"/>
      <c r="M28" s="305"/>
      <c r="N28" s="305"/>
    </row>
    <row r="29" spans="1:14" ht="12.75" customHeight="1">
      <c r="A29" s="303">
        <f>+A23+1</f>
        <v>5</v>
      </c>
      <c r="B29" s="333"/>
      <c r="C29" s="306"/>
      <c r="D29" s="304" t="s">
        <v>389</v>
      </c>
      <c r="E29" s="304" t="s">
        <v>298</v>
      </c>
      <c r="G29" s="304" t="s">
        <v>318</v>
      </c>
      <c r="I29" s="304" t="s">
        <v>318</v>
      </c>
      <c r="J29" s="304" t="s">
        <v>318</v>
      </c>
      <c r="K29" s="304" t="s">
        <v>319</v>
      </c>
      <c r="L29" s="321"/>
      <c r="M29" s="305"/>
      <c r="N29" s="305"/>
    </row>
    <row r="30" spans="1:14">
      <c r="B30" s="303"/>
      <c r="C30" s="306"/>
      <c r="D30" s="322"/>
      <c r="E30" s="310"/>
      <c r="F30" s="310"/>
      <c r="H30" s="309"/>
      <c r="J30"/>
      <c r="K30" s="336"/>
      <c r="L30" s="321"/>
      <c r="M30" s="305"/>
      <c r="N30" s="305"/>
    </row>
    <row r="31" spans="1:14">
      <c r="A31" s="303">
        <f>+A29+1</f>
        <v>6</v>
      </c>
      <c r="B31" s="303"/>
      <c r="C31" s="302" t="str">
        <f>"Totals as of December 31, "&amp;TCOS!L4&amp;""</f>
        <v>Totals as of December 31, 2025</v>
      </c>
      <c r="D31" s="337">
        <f>ROUND(D57,0)</f>
        <v>37846</v>
      </c>
      <c r="E31" s="338">
        <f>ROUND(E57,0)</f>
        <v>0</v>
      </c>
      <c r="F31" s="339"/>
      <c r="G31" s="337">
        <f>ROUND(G57,0)</f>
        <v>0</v>
      </c>
      <c r="H31" s="309"/>
      <c r="I31" s="337">
        <f>ROUND(I57,0)</f>
        <v>37846</v>
      </c>
      <c r="J31" s="340">
        <f>+J57</f>
        <v>0</v>
      </c>
      <c r="K31" s="337">
        <f>ROUND(K57,0)</f>
        <v>37846</v>
      </c>
      <c r="L31" s="321"/>
      <c r="M31" s="305"/>
      <c r="N31" s="305"/>
    </row>
    <row r="32" spans="1:14">
      <c r="A32" s="303">
        <f>+A31+1</f>
        <v>7</v>
      </c>
      <c r="B32" s="303"/>
      <c r="C32" s="302" t="str">
        <f>"Totals as of December 31, "&amp;(TCOS!L4-1)&amp;""</f>
        <v>Totals as of December 31, 2024</v>
      </c>
      <c r="D32" s="341">
        <f>ROUND(D81,0)</f>
        <v>22277</v>
      </c>
      <c r="E32" s="342">
        <f>ROUND(E81,0)</f>
        <v>0</v>
      </c>
      <c r="F32" s="310"/>
      <c r="G32" s="341">
        <f>ROUND(G81,0)</f>
        <v>0</v>
      </c>
      <c r="H32" s="309"/>
      <c r="I32" s="341">
        <f>ROUND(I81,0)</f>
        <v>22277</v>
      </c>
      <c r="J32" s="341">
        <f>+J81</f>
        <v>0</v>
      </c>
      <c r="K32" s="341">
        <f>ROUND(K81,0)</f>
        <v>22277</v>
      </c>
      <c r="L32" s="321"/>
      <c r="M32" s="305"/>
      <c r="N32" s="305"/>
    </row>
    <row r="33" spans="1:14" ht="13.5" thickBot="1">
      <c r="A33" s="303">
        <f>+A32+1</f>
        <v>8</v>
      </c>
      <c r="B33" s="303"/>
      <c r="C33" s="314" t="s">
        <v>505</v>
      </c>
      <c r="D33" s="343">
        <f>IF(D32="",0,(D31+D32)/2)</f>
        <v>30061.5</v>
      </c>
      <c r="E33" s="343">
        <f>IF(E32="",0,(E31+E32)/2)</f>
        <v>0</v>
      </c>
      <c r="F33" s="344"/>
      <c r="G33" s="343">
        <f>IF(G32="",0,(G31+G32)/2)</f>
        <v>0</v>
      </c>
      <c r="H33" s="345"/>
      <c r="I33" s="343">
        <f>IF(I32="",0,(I31+I32)/2)</f>
        <v>30061.5</v>
      </c>
      <c r="J33" s="343">
        <f>IF(J32="",0,(J31+J32)/2)</f>
        <v>0</v>
      </c>
      <c r="K33" s="343">
        <f>IF(K32="",0,(K31+K32)/2)</f>
        <v>30061.5</v>
      </c>
      <c r="L33" s="321"/>
      <c r="M33" s="305"/>
      <c r="N33" s="305"/>
    </row>
    <row r="34" spans="1:14" ht="13.5" thickTop="1">
      <c r="B34" s="303"/>
      <c r="D34" s="322"/>
      <c r="E34" s="310"/>
      <c r="F34" s="310"/>
      <c r="H34" s="309"/>
      <c r="J34"/>
      <c r="K34" s="320"/>
      <c r="L34" s="321"/>
      <c r="M34" s="305"/>
      <c r="N34" s="305"/>
    </row>
    <row r="35" spans="1:14">
      <c r="A35" s="302"/>
      <c r="J35"/>
      <c r="K35" s="320"/>
      <c r="L35" s="321"/>
      <c r="M35" s="305"/>
      <c r="N35" s="305"/>
    </row>
    <row r="36" spans="1:14" ht="18">
      <c r="B36" s="1172" t="str">
        <f>"Prepayments Account 165 - Balance @ 12/31/"&amp;D38&amp;""</f>
        <v>Prepayments Account 165 - Balance @ 12/31/2025</v>
      </c>
      <c r="C36" s="1174"/>
      <c r="D36" s="1174"/>
      <c r="E36" s="1174"/>
      <c r="F36" s="1174"/>
      <c r="G36" s="1174"/>
      <c r="H36" s="1174"/>
      <c r="I36" s="1174"/>
      <c r="J36" s="1174"/>
      <c r="K36" s="320"/>
      <c r="L36" s="321"/>
      <c r="M36" s="305"/>
      <c r="N36" s="305"/>
    </row>
    <row r="37" spans="1:14">
      <c r="B37" s="75"/>
      <c r="C37" s="76"/>
      <c r="D37" s="7"/>
      <c r="E37" s="334"/>
      <c r="G37" s="334" t="s">
        <v>388</v>
      </c>
      <c r="I37" s="4" t="s">
        <v>417</v>
      </c>
      <c r="J37" s="4" t="s">
        <v>417</v>
      </c>
      <c r="K37" s="4" t="s">
        <v>479</v>
      </c>
      <c r="L37"/>
      <c r="M37" s="305"/>
      <c r="N37" s="305"/>
    </row>
    <row r="38" spans="1:14">
      <c r="B38" s="75"/>
      <c r="C38" s="346"/>
      <c r="D38" s="335" t="str">
        <f>""&amp;TCOS!L4</f>
        <v>2025</v>
      </c>
      <c r="E38" s="4" t="s">
        <v>327</v>
      </c>
      <c r="G38" s="4" t="s">
        <v>417</v>
      </c>
      <c r="I38" s="4" t="s">
        <v>317</v>
      </c>
      <c r="J38" s="4" t="s">
        <v>461</v>
      </c>
      <c r="K38" s="4" t="s">
        <v>480</v>
      </c>
      <c r="L38"/>
      <c r="M38" s="305"/>
      <c r="N38" s="305"/>
    </row>
    <row r="39" spans="1:14">
      <c r="A39" s="303">
        <f>+A33+1</f>
        <v>9</v>
      </c>
      <c r="B39" s="304" t="s">
        <v>391</v>
      </c>
      <c r="C39" s="304" t="s">
        <v>467</v>
      </c>
      <c r="D39" s="304" t="s">
        <v>389</v>
      </c>
      <c r="E39" s="304" t="s">
        <v>298</v>
      </c>
      <c r="G39" s="304" t="s">
        <v>318</v>
      </c>
      <c r="I39" s="304" t="s">
        <v>318</v>
      </c>
      <c r="J39" s="304" t="s">
        <v>318</v>
      </c>
      <c r="K39" s="304" t="s">
        <v>319</v>
      </c>
      <c r="L39" s="304" t="s">
        <v>373</v>
      </c>
      <c r="M39" s="305"/>
      <c r="N39" s="305"/>
    </row>
    <row r="40" spans="1:14">
      <c r="B40" s="75"/>
      <c r="C40" s="76"/>
      <c r="D40" s="76"/>
      <c r="E40" s="76"/>
      <c r="G40" s="76"/>
      <c r="I40" s="76"/>
      <c r="J40" s="76"/>
      <c r="K40" s="336"/>
      <c r="L40"/>
      <c r="M40" s="305"/>
      <c r="N40" s="305"/>
    </row>
    <row r="41" spans="1:14" ht="14.25">
      <c r="A41" s="303">
        <f>+A39+1</f>
        <v>10</v>
      </c>
      <c r="B41" s="968" t="s">
        <v>814</v>
      </c>
      <c r="C41" s="969" t="s">
        <v>815</v>
      </c>
      <c r="D41" s="970">
        <v>28208.34</v>
      </c>
      <c r="E41" s="971">
        <f>+D41-K41</f>
        <v>0</v>
      </c>
      <c r="G41" s="972"/>
      <c r="I41" s="972">
        <f>+D41</f>
        <v>28208.34</v>
      </c>
      <c r="J41" s="972"/>
      <c r="K41" s="972">
        <f>+G41+I41+J41</f>
        <v>28208.34</v>
      </c>
      <c r="L41"/>
      <c r="M41" s="305"/>
      <c r="N41" s="305"/>
    </row>
    <row r="42" spans="1:14" ht="14.25">
      <c r="A42" s="303">
        <f>+A41+1</f>
        <v>11</v>
      </c>
      <c r="B42" s="973" t="s">
        <v>816</v>
      </c>
      <c r="C42" s="969" t="s">
        <v>817</v>
      </c>
      <c r="D42" s="970">
        <v>-1192.27</v>
      </c>
      <c r="E42" s="971">
        <f>+D42-K42</f>
        <v>0</v>
      </c>
      <c r="G42" s="972"/>
      <c r="I42" s="972">
        <f>+D42</f>
        <v>-1192.27</v>
      </c>
      <c r="J42" s="972"/>
      <c r="K42" s="972">
        <f>+G42+I42+J42</f>
        <v>-1192.27</v>
      </c>
      <c r="L42"/>
      <c r="M42" s="305"/>
      <c r="N42" s="305"/>
    </row>
    <row r="43" spans="1:14" ht="14.25">
      <c r="A43" s="303">
        <f t="shared" ref="A43:A56" si="0">+A42+1</f>
        <v>12</v>
      </c>
      <c r="B43" s="974" t="s">
        <v>1050</v>
      </c>
      <c r="C43" s="969" t="s">
        <v>1051</v>
      </c>
      <c r="D43" s="970">
        <v>10830</v>
      </c>
      <c r="E43" s="971">
        <f>+D43-K43</f>
        <v>0</v>
      </c>
      <c r="G43" s="972"/>
      <c r="I43" s="972">
        <f>+D43</f>
        <v>10830</v>
      </c>
      <c r="J43" s="972"/>
      <c r="K43" s="972">
        <f>+G43+I43+J43</f>
        <v>10830</v>
      </c>
      <c r="L43"/>
      <c r="M43" s="305"/>
      <c r="N43" s="305"/>
    </row>
    <row r="44" spans="1:14" ht="14.25">
      <c r="A44" s="303">
        <f t="shared" si="0"/>
        <v>13</v>
      </c>
      <c r="B44" s="973"/>
      <c r="C44" s="969"/>
      <c r="D44" s="970"/>
      <c r="E44" s="971"/>
      <c r="G44" s="972"/>
      <c r="I44" s="972"/>
      <c r="J44" s="972"/>
      <c r="K44" s="972"/>
      <c r="L44"/>
      <c r="M44" s="305"/>
      <c r="N44" s="305"/>
    </row>
    <row r="45" spans="1:14" ht="14.25">
      <c r="A45" s="303">
        <f t="shared" si="0"/>
        <v>14</v>
      </c>
      <c r="B45" s="973"/>
      <c r="C45" s="969"/>
      <c r="D45" s="970"/>
      <c r="E45" s="971"/>
      <c r="G45" s="972"/>
      <c r="I45" s="972"/>
      <c r="J45" s="972"/>
      <c r="K45" s="972"/>
      <c r="L45"/>
      <c r="M45" s="305"/>
      <c r="N45" s="305"/>
    </row>
    <row r="46" spans="1:14" ht="14.25">
      <c r="A46" s="303">
        <f t="shared" si="0"/>
        <v>15</v>
      </c>
      <c r="B46" s="973"/>
      <c r="C46" s="969"/>
      <c r="D46" s="970"/>
      <c r="E46" s="971"/>
      <c r="G46" s="972"/>
      <c r="I46" s="972"/>
      <c r="J46" s="972"/>
      <c r="K46" s="972"/>
      <c r="L46"/>
      <c r="M46" s="305"/>
      <c r="N46" s="305"/>
    </row>
    <row r="47" spans="1:14" ht="14.25">
      <c r="A47" s="303">
        <f t="shared" si="0"/>
        <v>16</v>
      </c>
      <c r="B47" s="711"/>
      <c r="C47" s="713"/>
      <c r="D47" s="736"/>
      <c r="E47" s="971"/>
      <c r="G47" s="349"/>
      <c r="I47" s="348"/>
      <c r="J47" s="349"/>
      <c r="K47" s="349"/>
      <c r="L47"/>
      <c r="M47" s="305"/>
      <c r="N47" s="305"/>
    </row>
    <row r="48" spans="1:14" ht="14.25">
      <c r="A48" s="303">
        <f t="shared" si="0"/>
        <v>17</v>
      </c>
      <c r="B48" s="711"/>
      <c r="C48" s="713"/>
      <c r="D48" s="736"/>
      <c r="E48" s="971"/>
      <c r="G48" s="348"/>
      <c r="I48" s="348"/>
      <c r="J48" s="348"/>
      <c r="K48" s="349"/>
      <c r="L48" s="3"/>
      <c r="M48" s="305"/>
      <c r="N48" s="305"/>
    </row>
    <row r="49" spans="1:15" ht="14.25">
      <c r="A49" s="303">
        <f t="shared" si="0"/>
        <v>18</v>
      </c>
      <c r="B49" s="711"/>
      <c r="C49" s="713"/>
      <c r="D49" s="736"/>
      <c r="E49" s="971"/>
      <c r="G49" s="348"/>
      <c r="I49" s="348"/>
      <c r="J49" s="348"/>
      <c r="K49" s="349"/>
      <c r="L49"/>
      <c r="M49" s="305"/>
      <c r="N49" s="305"/>
    </row>
    <row r="50" spans="1:15" ht="14.25">
      <c r="A50" s="303">
        <f t="shared" si="0"/>
        <v>19</v>
      </c>
      <c r="B50" s="711"/>
      <c r="C50" s="713"/>
      <c r="D50" s="736"/>
      <c r="E50" s="347"/>
      <c r="G50" s="348"/>
      <c r="I50" s="348"/>
      <c r="J50" s="348"/>
      <c r="K50" s="349"/>
      <c r="L50"/>
      <c r="M50" s="305"/>
      <c r="N50" s="305"/>
    </row>
    <row r="51" spans="1:15" ht="14.25">
      <c r="A51" s="303">
        <f t="shared" si="0"/>
        <v>20</v>
      </c>
      <c r="B51" s="712"/>
      <c r="C51" s="713"/>
      <c r="D51" s="736"/>
      <c r="E51" s="347"/>
      <c r="G51" s="348"/>
      <c r="I51" s="348"/>
      <c r="J51" s="350"/>
      <c r="K51" s="349"/>
      <c r="L51"/>
      <c r="M51" s="305"/>
      <c r="N51" s="305"/>
    </row>
    <row r="52" spans="1:15" ht="14.25">
      <c r="A52" s="303">
        <f t="shared" si="0"/>
        <v>21</v>
      </c>
      <c r="B52" s="712"/>
      <c r="C52" s="713"/>
      <c r="D52" s="736"/>
      <c r="E52" s="347"/>
      <c r="G52" s="348"/>
      <c r="I52" s="348"/>
      <c r="J52" s="350"/>
      <c r="K52" s="349"/>
      <c r="L52"/>
      <c r="M52" s="305"/>
      <c r="N52" s="305"/>
    </row>
    <row r="53" spans="1:15" ht="14.25">
      <c r="A53" s="303">
        <f t="shared" si="0"/>
        <v>22</v>
      </c>
      <c r="B53" s="712"/>
      <c r="C53" s="713"/>
      <c r="D53" s="736"/>
      <c r="E53" s="347"/>
      <c r="G53" s="348"/>
      <c r="I53" s="348"/>
      <c r="J53" s="350"/>
      <c r="K53" s="349"/>
      <c r="L53"/>
      <c r="M53" s="305"/>
      <c r="N53" s="305"/>
    </row>
    <row r="54" spans="1:15" ht="14.25">
      <c r="A54" s="303">
        <f t="shared" si="0"/>
        <v>23</v>
      </c>
      <c r="B54" s="712"/>
      <c r="C54" s="713"/>
      <c r="D54" s="736"/>
      <c r="E54" s="347"/>
      <c r="G54" s="348"/>
      <c r="I54" s="348"/>
      <c r="J54" s="350"/>
      <c r="K54" s="349"/>
      <c r="L54"/>
      <c r="M54" s="305"/>
      <c r="N54" s="305"/>
    </row>
    <row r="55" spans="1:15" ht="14.25">
      <c r="A55" s="303">
        <f t="shared" si="0"/>
        <v>24</v>
      </c>
      <c r="B55" s="712"/>
      <c r="C55" s="713"/>
      <c r="D55" s="736"/>
      <c r="E55" s="347"/>
      <c r="G55" s="348"/>
      <c r="I55" s="348"/>
      <c r="J55" s="350"/>
      <c r="K55" s="349"/>
      <c r="L55"/>
      <c r="M55" s="305"/>
      <c r="N55" s="305"/>
    </row>
    <row r="56" spans="1:15" ht="15" thickBot="1">
      <c r="A56" s="303">
        <f t="shared" si="0"/>
        <v>25</v>
      </c>
      <c r="B56" s="712"/>
      <c r="C56" s="713"/>
      <c r="D56" s="736"/>
      <c r="E56" s="347"/>
      <c r="G56" s="348"/>
      <c r="I56" s="348"/>
      <c r="J56" s="348"/>
      <c r="K56" s="349"/>
      <c r="L56"/>
      <c r="M56" s="305"/>
      <c r="N56" s="305"/>
    </row>
    <row r="57" spans="1:15">
      <c r="B57" s="75"/>
      <c r="C57" s="351" t="s">
        <v>299</v>
      </c>
      <c r="D57" s="352">
        <f>SUM(D41:D56)</f>
        <v>37846.07</v>
      </c>
      <c r="E57" s="353">
        <f>SUM(E41:E56)</f>
        <v>0</v>
      </c>
      <c r="G57" s="352">
        <f>SUM(G41:G56)</f>
        <v>0</v>
      </c>
      <c r="I57" s="352">
        <f>SUM(I41:I56)</f>
        <v>37846.07</v>
      </c>
      <c r="J57" s="352">
        <f>SUM(J41:J56)</f>
        <v>0</v>
      </c>
      <c r="K57" s="352">
        <f>SUM(K41:K56)</f>
        <v>37846.07</v>
      </c>
      <c r="L57"/>
      <c r="M57" s="305"/>
      <c r="N57" s="305"/>
    </row>
    <row r="58" spans="1:15">
      <c r="D58" s="354" t="s">
        <v>416</v>
      </c>
      <c r="K58" s="36"/>
      <c r="L58"/>
      <c r="M58" s="305"/>
      <c r="N58" s="305"/>
    </row>
    <row r="59" spans="1:15">
      <c r="B59"/>
      <c r="C59"/>
      <c r="D59"/>
      <c r="E59"/>
      <c r="F59"/>
      <c r="G59"/>
      <c r="H59"/>
      <c r="I59"/>
      <c r="J59"/>
      <c r="K59"/>
      <c r="L59"/>
      <c r="M59" s="305"/>
      <c r="N59" s="305"/>
      <c r="O59"/>
    </row>
    <row r="60" spans="1:15" ht="18">
      <c r="B60" s="1172" t="str">
        <f>"Prepayments Account 165 - Balance @ 12/31/ "&amp;D62&amp;""</f>
        <v>Prepayments Account 165 - Balance @ 12/31/ 2024</v>
      </c>
      <c r="C60" s="1172"/>
      <c r="D60" s="1172"/>
      <c r="E60" s="1172"/>
      <c r="F60" s="1172"/>
      <c r="G60" s="1172"/>
      <c r="H60" s="1172"/>
      <c r="I60" s="1172"/>
      <c r="J60" s="1172"/>
      <c r="K60" s="320"/>
      <c r="L60" s="321"/>
      <c r="M60" s="305"/>
      <c r="N60" s="305"/>
      <c r="O60"/>
    </row>
    <row r="61" spans="1:15">
      <c r="B61" s="355"/>
      <c r="C61" s="109"/>
      <c r="D61" s="356"/>
      <c r="E61" s="334"/>
      <c r="G61" s="334" t="s">
        <v>388</v>
      </c>
      <c r="I61" s="4" t="s">
        <v>417</v>
      </c>
      <c r="J61" s="4" t="s">
        <v>417</v>
      </c>
      <c r="K61" s="4" t="s">
        <v>479</v>
      </c>
      <c r="L61"/>
      <c r="M61" s="305"/>
      <c r="N61" s="305"/>
      <c r="O61"/>
    </row>
    <row r="62" spans="1:15">
      <c r="B62" s="355"/>
      <c r="C62" s="357"/>
      <c r="D62" s="4" t="str">
        <f>""&amp;TCOS!L4-1&amp;""</f>
        <v>2024</v>
      </c>
      <c r="E62" s="4" t="s">
        <v>327</v>
      </c>
      <c r="G62" s="4" t="s">
        <v>417</v>
      </c>
      <c r="I62" s="4" t="s">
        <v>317</v>
      </c>
      <c r="J62" s="4" t="s">
        <v>461</v>
      </c>
      <c r="K62" s="4" t="s">
        <v>480</v>
      </c>
      <c r="L62"/>
      <c r="M62" s="305"/>
      <c r="N62" s="305"/>
      <c r="O62"/>
    </row>
    <row r="63" spans="1:15">
      <c r="A63" s="303">
        <f>A56+1</f>
        <v>26</v>
      </c>
      <c r="B63" s="304" t="s">
        <v>391</v>
      </c>
      <c r="C63" s="304" t="s">
        <v>467</v>
      </c>
      <c r="D63" s="304" t="s">
        <v>389</v>
      </c>
      <c r="E63" s="304" t="s">
        <v>298</v>
      </c>
      <c r="G63" s="304" t="s">
        <v>318</v>
      </c>
      <c r="I63" s="304" t="s">
        <v>318</v>
      </c>
      <c r="J63" s="304" t="s">
        <v>318</v>
      </c>
      <c r="K63" s="304" t="s">
        <v>319</v>
      </c>
      <c r="L63" s="304" t="s">
        <v>373</v>
      </c>
      <c r="M63" s="305"/>
      <c r="N63" s="305"/>
      <c r="O63"/>
    </row>
    <row r="64" spans="1:15">
      <c r="B64" s="75"/>
      <c r="C64" s="76"/>
      <c r="D64" s="76"/>
      <c r="E64" s="76"/>
      <c r="G64" s="76"/>
      <c r="I64" s="76"/>
      <c r="J64" s="76"/>
      <c r="K64" s="76"/>
      <c r="L64"/>
      <c r="M64" s="305"/>
      <c r="N64" s="305"/>
      <c r="O64"/>
    </row>
    <row r="65" spans="1:15" ht="14.25">
      <c r="A65" s="303">
        <f>+A63+1</f>
        <v>27</v>
      </c>
      <c r="B65" s="968" t="s">
        <v>814</v>
      </c>
      <c r="C65" s="969" t="s">
        <v>815</v>
      </c>
      <c r="D65" s="970">
        <v>12711.87</v>
      </c>
      <c r="E65" s="971">
        <f>+D65-K65</f>
        <v>0</v>
      </c>
      <c r="G65" s="972"/>
      <c r="I65" s="972">
        <f>+D65</f>
        <v>12711.87</v>
      </c>
      <c r="J65" s="972"/>
      <c r="K65" s="972">
        <f>+G65+I65+J65</f>
        <v>12711.87</v>
      </c>
      <c r="L65"/>
      <c r="M65" s="305"/>
      <c r="N65" s="305"/>
      <c r="O65"/>
    </row>
    <row r="66" spans="1:15" ht="14.25">
      <c r="A66" s="303">
        <f>+A65+1</f>
        <v>28</v>
      </c>
      <c r="B66" s="973" t="s">
        <v>816</v>
      </c>
      <c r="C66" s="969" t="s">
        <v>817</v>
      </c>
      <c r="D66" s="970">
        <v>9565.25</v>
      </c>
      <c r="E66" s="971">
        <f>+D66-K66</f>
        <v>0</v>
      </c>
      <c r="G66" s="972"/>
      <c r="I66" s="972">
        <f>+D66</f>
        <v>9565.25</v>
      </c>
      <c r="J66" s="972"/>
      <c r="K66" s="972">
        <f>+G66+I66+J66</f>
        <v>9565.25</v>
      </c>
      <c r="L66"/>
      <c r="M66" s="305"/>
      <c r="N66" s="305"/>
      <c r="O66"/>
    </row>
    <row r="67" spans="1:15" ht="14.25">
      <c r="A67" s="303">
        <f t="shared" ref="A67:A80" si="1">+A66+1</f>
        <v>29</v>
      </c>
      <c r="B67" s="973"/>
      <c r="C67" s="969"/>
      <c r="D67" s="970"/>
      <c r="E67" s="971"/>
      <c r="G67" s="972"/>
      <c r="I67" s="972"/>
      <c r="J67" s="972"/>
      <c r="K67" s="972"/>
      <c r="L67"/>
      <c r="M67" s="305"/>
      <c r="N67" s="305"/>
      <c r="O67"/>
    </row>
    <row r="68" spans="1:15" ht="14.25">
      <c r="A68" s="303">
        <f t="shared" si="1"/>
        <v>30</v>
      </c>
      <c r="B68" s="974"/>
      <c r="C68" s="969"/>
      <c r="D68" s="970"/>
      <c r="E68" s="971"/>
      <c r="G68" s="972"/>
      <c r="I68" s="972"/>
      <c r="J68" s="972"/>
      <c r="K68" s="972"/>
      <c r="L68"/>
      <c r="M68" s="305"/>
      <c r="N68" s="305"/>
      <c r="O68"/>
    </row>
    <row r="69" spans="1:15" ht="14.25">
      <c r="A69" s="303">
        <f t="shared" si="1"/>
        <v>31</v>
      </c>
      <c r="B69" s="973"/>
      <c r="C69" s="969"/>
      <c r="D69" s="970"/>
      <c r="E69" s="971"/>
      <c r="G69" s="972"/>
      <c r="I69" s="972"/>
      <c r="J69" s="972"/>
      <c r="K69" s="972"/>
      <c r="L69"/>
      <c r="M69" s="305"/>
      <c r="N69" s="305"/>
      <c r="O69"/>
    </row>
    <row r="70" spans="1:15" ht="14.25">
      <c r="A70" s="303">
        <f t="shared" si="1"/>
        <v>32</v>
      </c>
      <c r="B70" s="973"/>
      <c r="C70" s="969"/>
      <c r="D70" s="970"/>
      <c r="E70" s="971"/>
      <c r="G70" s="972"/>
      <c r="I70" s="972"/>
      <c r="J70" s="972"/>
      <c r="K70" s="972"/>
      <c r="L70"/>
      <c r="M70" s="305"/>
      <c r="N70" s="305"/>
      <c r="O70"/>
    </row>
    <row r="71" spans="1:15" ht="14.25">
      <c r="A71" s="303">
        <f t="shared" si="1"/>
        <v>33</v>
      </c>
      <c r="B71" s="711"/>
      <c r="C71" s="713"/>
      <c r="D71" s="736"/>
      <c r="E71" s="971"/>
      <c r="G71" s="349"/>
      <c r="I71" s="348"/>
      <c r="J71" s="349"/>
      <c r="K71" s="349"/>
      <c r="L71"/>
      <c r="M71" s="305"/>
      <c r="N71" s="305"/>
      <c r="O71"/>
    </row>
    <row r="72" spans="1:15" ht="14.25">
      <c r="A72" s="303">
        <f t="shared" si="1"/>
        <v>34</v>
      </c>
      <c r="B72" s="711"/>
      <c r="C72" s="713"/>
      <c r="D72" s="736"/>
      <c r="E72" s="971"/>
      <c r="G72" s="348"/>
      <c r="I72" s="348"/>
      <c r="J72" s="348"/>
      <c r="K72" s="349"/>
      <c r="L72" s="3"/>
      <c r="M72" s="305"/>
      <c r="N72" s="305"/>
      <c r="O72"/>
    </row>
    <row r="73" spans="1:15" ht="14.25">
      <c r="A73" s="303">
        <f t="shared" si="1"/>
        <v>35</v>
      </c>
      <c r="B73" s="711"/>
      <c r="C73" s="713"/>
      <c r="D73" s="736"/>
      <c r="E73" s="971"/>
      <c r="G73" s="348"/>
      <c r="I73" s="348"/>
      <c r="J73" s="348"/>
      <c r="K73" s="349"/>
      <c r="L73"/>
      <c r="M73" s="305"/>
      <c r="N73" s="305"/>
      <c r="O73"/>
    </row>
    <row r="74" spans="1:15" ht="14.25">
      <c r="A74" s="303">
        <f>+A71+1</f>
        <v>34</v>
      </c>
      <c r="B74" s="711"/>
      <c r="C74" s="713"/>
      <c r="D74" s="736"/>
      <c r="E74" s="347"/>
      <c r="G74" s="348"/>
      <c r="I74" s="348"/>
      <c r="J74" s="348"/>
      <c r="K74" s="349"/>
      <c r="L74"/>
      <c r="M74" s="305"/>
      <c r="N74" s="305"/>
      <c r="O74"/>
    </row>
    <row r="75" spans="1:15" ht="14.25">
      <c r="A75" s="303">
        <f t="shared" si="1"/>
        <v>35</v>
      </c>
      <c r="B75" s="712"/>
      <c r="C75" s="713"/>
      <c r="D75" s="736"/>
      <c r="E75" s="347"/>
      <c r="G75" s="348"/>
      <c r="I75" s="348"/>
      <c r="J75" s="350"/>
      <c r="K75" s="349"/>
      <c r="L75"/>
      <c r="M75" s="305"/>
      <c r="N75" s="305"/>
      <c r="O75"/>
    </row>
    <row r="76" spans="1:15" ht="14.25">
      <c r="A76" s="303">
        <f t="shared" si="1"/>
        <v>36</v>
      </c>
      <c r="B76" s="712"/>
      <c r="C76" s="713"/>
      <c r="D76" s="736"/>
      <c r="E76" s="347"/>
      <c r="G76" s="348"/>
      <c r="I76" s="348"/>
      <c r="J76" s="350"/>
      <c r="K76" s="349"/>
      <c r="L76"/>
      <c r="M76" s="305"/>
      <c r="N76" s="305"/>
      <c r="O76"/>
    </row>
    <row r="77" spans="1:15" ht="14.25">
      <c r="A77" s="303">
        <f t="shared" si="1"/>
        <v>37</v>
      </c>
      <c r="B77" s="712"/>
      <c r="C77" s="713"/>
      <c r="D77" s="736"/>
      <c r="E77" s="347"/>
      <c r="G77" s="348"/>
      <c r="I77" s="348"/>
      <c r="J77" s="350"/>
      <c r="K77" s="349"/>
      <c r="L77"/>
      <c r="M77" s="305"/>
      <c r="N77" s="305"/>
      <c r="O77"/>
    </row>
    <row r="78" spans="1:15" ht="14.25">
      <c r="A78" s="303">
        <f t="shared" si="1"/>
        <v>38</v>
      </c>
      <c r="B78" s="712"/>
      <c r="C78" s="713"/>
      <c r="D78" s="736"/>
      <c r="E78" s="347"/>
      <c r="G78" s="348"/>
      <c r="I78" s="348"/>
      <c r="J78" s="350"/>
      <c r="K78" s="349"/>
      <c r="L78"/>
      <c r="M78" s="305"/>
      <c r="N78" s="305"/>
      <c r="O78"/>
    </row>
    <row r="79" spans="1:15" ht="14.25">
      <c r="A79" s="303">
        <f t="shared" si="1"/>
        <v>39</v>
      </c>
      <c r="B79" s="712"/>
      <c r="C79" s="713"/>
      <c r="D79" s="736"/>
      <c r="E79" s="347"/>
      <c r="G79" s="348"/>
      <c r="I79" s="348"/>
      <c r="J79" s="350"/>
      <c r="K79" s="349"/>
      <c r="L79"/>
      <c r="M79" s="305"/>
      <c r="N79" s="305"/>
      <c r="O79"/>
    </row>
    <row r="80" spans="1:15" ht="15" thickBot="1">
      <c r="A80" s="303">
        <f t="shared" si="1"/>
        <v>40</v>
      </c>
      <c r="B80" s="712"/>
      <c r="C80" s="713"/>
      <c r="D80" s="736"/>
      <c r="E80" s="347"/>
      <c r="G80" s="348"/>
      <c r="I80" s="348"/>
      <c r="J80" s="348"/>
      <c r="K80" s="349"/>
      <c r="L80"/>
      <c r="M80" s="305"/>
      <c r="N80" s="305"/>
      <c r="O80"/>
    </row>
    <row r="81" spans="1:15">
      <c r="B81" s="75"/>
      <c r="C81" s="351" t="s">
        <v>625</v>
      </c>
      <c r="D81" s="352">
        <f>SUM(D65:D80)</f>
        <v>22277.120000000003</v>
      </c>
      <c r="E81" s="353">
        <f>SUM(E65:E80)</f>
        <v>0</v>
      </c>
      <c r="G81" s="352">
        <f>SUM(G65:G80)</f>
        <v>0</v>
      </c>
      <c r="I81" s="352">
        <f>SUM(I65:I80)</f>
        <v>22277.120000000003</v>
      </c>
      <c r="J81" s="352">
        <f>SUM(J65:J80)</f>
        <v>0</v>
      </c>
      <c r="K81" s="352">
        <f>SUM(K65:K80)</f>
        <v>22277.120000000003</v>
      </c>
      <c r="L81"/>
      <c r="M81" s="305"/>
      <c r="N81" s="305"/>
      <c r="O81"/>
    </row>
    <row r="82" spans="1:15">
      <c r="B82" s="303"/>
      <c r="C82"/>
      <c r="D82"/>
      <c r="E82"/>
      <c r="F82"/>
      <c r="G82"/>
      <c r="H82"/>
      <c r="I82"/>
      <c r="J82"/>
      <c r="K82"/>
      <c r="L82"/>
      <c r="M82" s="305"/>
      <c r="N82" s="305"/>
      <c r="O82"/>
    </row>
    <row r="83" spans="1:15" ht="20.25" customHeight="1">
      <c r="A83" s="303" t="s">
        <v>692</v>
      </c>
      <c r="B83" s="1170" t="s">
        <v>777</v>
      </c>
      <c r="C83" s="1170"/>
      <c r="D83" s="1170"/>
      <c r="E83" s="1170"/>
      <c r="F83" s="1170"/>
      <c r="G83" s="1170"/>
      <c r="H83" s="1170"/>
      <c r="I83" s="1170"/>
      <c r="J83" s="1170"/>
      <c r="K83" s="1170"/>
      <c r="L83" s="1170"/>
      <c r="M83" s="305"/>
      <c r="N83" s="305"/>
      <c r="O83"/>
    </row>
    <row r="84" spans="1:15" ht="20.25" customHeight="1">
      <c r="A84" s="754"/>
      <c r="B84" s="1170"/>
      <c r="C84" s="1170"/>
      <c r="D84" s="1170"/>
      <c r="E84" s="1170"/>
      <c r="F84" s="1170"/>
      <c r="G84" s="1170"/>
      <c r="H84" s="1170"/>
      <c r="I84" s="1170"/>
      <c r="J84" s="1170"/>
      <c r="K84" s="1170"/>
      <c r="L84" s="1170"/>
      <c r="M84"/>
      <c r="N84"/>
      <c r="O84"/>
    </row>
    <row r="85" spans="1:15">
      <c r="A85"/>
      <c r="B85"/>
      <c r="C85"/>
      <c r="D85"/>
      <c r="E85"/>
      <c r="F85"/>
      <c r="G85"/>
      <c r="H85"/>
      <c r="I85"/>
      <c r="J85"/>
      <c r="K85"/>
      <c r="L85"/>
      <c r="M85"/>
      <c r="N85"/>
      <c r="O85"/>
    </row>
    <row r="86" spans="1:15">
      <c r="A86"/>
      <c r="B86"/>
      <c r="C86"/>
      <c r="D86"/>
      <c r="E86"/>
      <c r="F86"/>
      <c r="G86"/>
      <c r="H86"/>
      <c r="I86"/>
      <c r="J86"/>
      <c r="K86"/>
      <c r="L86"/>
      <c r="M86"/>
      <c r="N86"/>
      <c r="O86"/>
    </row>
    <row r="87" spans="1:15">
      <c r="A87"/>
      <c r="B87"/>
      <c r="C87"/>
      <c r="D87"/>
      <c r="E87"/>
      <c r="F87"/>
      <c r="G87"/>
      <c r="H87"/>
      <c r="I87"/>
      <c r="J87"/>
      <c r="K87"/>
      <c r="L87"/>
      <c r="M87"/>
      <c r="N87"/>
      <c r="O87"/>
    </row>
    <row r="88" spans="1:15">
      <c r="A88"/>
      <c r="B88"/>
      <c r="C88"/>
      <c r="D88"/>
      <c r="E88"/>
      <c r="F88"/>
      <c r="G88"/>
      <c r="H88"/>
      <c r="I88"/>
      <c r="J88"/>
      <c r="K88"/>
      <c r="L88"/>
      <c r="M88"/>
      <c r="N88"/>
      <c r="O88"/>
    </row>
    <row r="89" spans="1:15">
      <c r="A89"/>
      <c r="B89"/>
      <c r="C89"/>
      <c r="D89"/>
      <c r="E89"/>
      <c r="F89"/>
      <c r="G89"/>
      <c r="H89"/>
      <c r="I89"/>
      <c r="J89"/>
      <c r="K89"/>
      <c r="L89"/>
      <c r="M89"/>
      <c r="N89"/>
      <c r="O89"/>
    </row>
    <row r="90" spans="1:15">
      <c r="A90"/>
      <c r="B90"/>
      <c r="C90"/>
      <c r="D90"/>
      <c r="E90"/>
      <c r="F90"/>
      <c r="G90"/>
      <c r="H90"/>
      <c r="I90"/>
      <c r="J90"/>
      <c r="K90"/>
      <c r="L90"/>
      <c r="M90"/>
      <c r="N90"/>
      <c r="O90"/>
    </row>
    <row r="91" spans="1:15">
      <c r="A91"/>
      <c r="B91"/>
      <c r="C91"/>
      <c r="D91"/>
      <c r="E91"/>
      <c r="F91"/>
      <c r="G91"/>
      <c r="H91"/>
      <c r="I91"/>
      <c r="J91"/>
      <c r="K91"/>
      <c r="L91"/>
      <c r="M91"/>
      <c r="N91"/>
      <c r="O91"/>
    </row>
    <row r="92" spans="1:15">
      <c r="A92"/>
      <c r="B92"/>
      <c r="C92"/>
      <c r="D92"/>
      <c r="E92"/>
      <c r="F92"/>
      <c r="G92"/>
      <c r="H92"/>
      <c r="I92"/>
      <c r="J92"/>
      <c r="K92"/>
      <c r="L92"/>
      <c r="M92"/>
      <c r="N92"/>
      <c r="O92"/>
    </row>
    <row r="93" spans="1:15">
      <c r="A93"/>
      <c r="B93"/>
      <c r="C93"/>
      <c r="D93"/>
      <c r="E93"/>
      <c r="F93"/>
      <c r="G93"/>
      <c r="H93"/>
      <c r="I93"/>
      <c r="J93"/>
      <c r="K93"/>
      <c r="L93"/>
      <c r="M93"/>
      <c r="N93"/>
      <c r="O93"/>
    </row>
    <row r="94" spans="1:15">
      <c r="A94"/>
      <c r="B94"/>
      <c r="C94"/>
      <c r="D94"/>
      <c r="E94"/>
      <c r="F94"/>
      <c r="G94"/>
      <c r="H94"/>
      <c r="I94"/>
      <c r="J94"/>
      <c r="K94"/>
      <c r="L94"/>
      <c r="M94"/>
      <c r="N94"/>
      <c r="O94"/>
    </row>
    <row r="95" spans="1:15">
      <c r="A95"/>
      <c r="B95"/>
      <c r="C95"/>
      <c r="D95"/>
      <c r="E95"/>
      <c r="F95"/>
      <c r="G95"/>
      <c r="H95"/>
      <c r="I95"/>
      <c r="J95"/>
      <c r="K95"/>
      <c r="L95"/>
      <c r="M95"/>
      <c r="N95"/>
      <c r="O95"/>
    </row>
    <row r="96" spans="1:15">
      <c r="A96"/>
      <c r="B96"/>
      <c r="C96"/>
      <c r="D96"/>
      <c r="E96"/>
      <c r="F96"/>
      <c r="G96"/>
      <c r="H96"/>
      <c r="I96"/>
      <c r="J96"/>
      <c r="K96"/>
      <c r="L96"/>
      <c r="M96"/>
      <c r="N96"/>
      <c r="O96"/>
    </row>
    <row r="97" spans="1:15">
      <c r="A97"/>
      <c r="B97"/>
      <c r="C97"/>
      <c r="D97"/>
      <c r="E97"/>
      <c r="F97"/>
      <c r="G97"/>
      <c r="H97"/>
      <c r="I97"/>
      <c r="J97"/>
      <c r="K97"/>
      <c r="L97"/>
      <c r="M97"/>
      <c r="N97"/>
      <c r="O97"/>
    </row>
    <row r="98" spans="1:15">
      <c r="A98"/>
      <c r="B98"/>
      <c r="C98"/>
      <c r="D98"/>
      <c r="E98"/>
      <c r="F98"/>
      <c r="G98"/>
      <c r="H98"/>
      <c r="I98"/>
      <c r="J98"/>
      <c r="K98"/>
      <c r="L98"/>
      <c r="M98"/>
      <c r="N98"/>
      <c r="O98"/>
    </row>
    <row r="99" spans="1:15">
      <c r="A99"/>
      <c r="B99"/>
      <c r="C99"/>
      <c r="D99"/>
      <c r="E99"/>
      <c r="F99"/>
      <c r="G99"/>
      <c r="H99"/>
      <c r="I99"/>
      <c r="J99"/>
      <c r="K99"/>
      <c r="L99"/>
      <c r="M99"/>
      <c r="N99"/>
      <c r="O99"/>
    </row>
    <row r="100" spans="1:15">
      <c r="A100"/>
      <c r="B100"/>
      <c r="C100"/>
      <c r="D100"/>
      <c r="E100"/>
      <c r="F100"/>
      <c r="G100"/>
      <c r="H100"/>
      <c r="I100"/>
      <c r="J100"/>
      <c r="K100"/>
      <c r="L100"/>
      <c r="M100"/>
      <c r="N100"/>
      <c r="O100"/>
    </row>
    <row r="101" spans="1:15">
      <c r="A101"/>
      <c r="B101"/>
      <c r="C101"/>
      <c r="D101"/>
      <c r="E101"/>
      <c r="F101"/>
      <c r="G101"/>
      <c r="H101"/>
      <c r="I101"/>
      <c r="J101"/>
      <c r="K101"/>
      <c r="L101"/>
      <c r="M101"/>
      <c r="N101"/>
      <c r="O101"/>
    </row>
    <row r="102" spans="1:15">
      <c r="A102"/>
      <c r="B102"/>
      <c r="C102"/>
      <c r="D102"/>
      <c r="E102"/>
      <c r="F102"/>
      <c r="G102"/>
      <c r="H102"/>
      <c r="I102"/>
      <c r="J102"/>
      <c r="K102"/>
      <c r="L102"/>
      <c r="M102"/>
      <c r="N102"/>
      <c r="O102"/>
    </row>
    <row r="103" spans="1:15">
      <c r="A103"/>
      <c r="B103"/>
      <c r="C103"/>
      <c r="D103"/>
      <c r="E103"/>
      <c r="F103"/>
      <c r="G103"/>
      <c r="H103"/>
      <c r="I103"/>
      <c r="J103"/>
      <c r="K103"/>
      <c r="L103"/>
      <c r="M103"/>
      <c r="N103"/>
      <c r="O103"/>
    </row>
    <row r="104" spans="1:15">
      <c r="A104"/>
      <c r="B104"/>
      <c r="C104"/>
      <c r="D104"/>
      <c r="E104"/>
      <c r="F104"/>
      <c r="G104"/>
      <c r="H104"/>
      <c r="I104"/>
      <c r="J104"/>
      <c r="K104"/>
      <c r="L104"/>
      <c r="M104"/>
      <c r="N104"/>
      <c r="O104"/>
    </row>
    <row r="105" spans="1:15">
      <c r="A105"/>
      <c r="B105"/>
      <c r="C105"/>
      <c r="D105"/>
      <c r="E105"/>
      <c r="F105"/>
      <c r="G105"/>
      <c r="H105"/>
      <c r="I105"/>
      <c r="J105"/>
      <c r="K105"/>
      <c r="L105"/>
      <c r="M105"/>
      <c r="N105"/>
      <c r="O105"/>
    </row>
    <row r="106" spans="1:15">
      <c r="A106"/>
      <c r="B106"/>
      <c r="C106"/>
      <c r="D106"/>
      <c r="E106"/>
      <c r="F106"/>
      <c r="G106"/>
      <c r="H106"/>
      <c r="I106"/>
      <c r="J106"/>
      <c r="K106"/>
      <c r="L106"/>
      <c r="M106"/>
      <c r="N106"/>
      <c r="O106"/>
    </row>
    <row r="107" spans="1:15">
      <c r="A107"/>
      <c r="B107"/>
      <c r="C107"/>
      <c r="D107"/>
      <c r="E107"/>
      <c r="F107"/>
      <c r="G107"/>
      <c r="H107"/>
      <c r="I107"/>
      <c r="J107"/>
      <c r="K107"/>
      <c r="L107"/>
      <c r="M107"/>
      <c r="N107"/>
      <c r="O107"/>
    </row>
  </sheetData>
  <mergeCells count="12">
    <mergeCell ref="G12:G13"/>
    <mergeCell ref="B83:L84"/>
    <mergeCell ref="B10:K10"/>
    <mergeCell ref="A3:L3"/>
    <mergeCell ref="A4:L4"/>
    <mergeCell ref="A5:L5"/>
    <mergeCell ref="A6:L6"/>
    <mergeCell ref="B60:J60"/>
    <mergeCell ref="B26:K26"/>
    <mergeCell ref="E12:E13"/>
    <mergeCell ref="I12:I13"/>
    <mergeCell ref="B36:J36"/>
  </mergeCells>
  <phoneticPr fontId="4" type="noConversion"/>
  <pageMargins left="1.08" right="0.75" top="0.7" bottom="0.41" header="0.75" footer="0.27"/>
  <pageSetup scale="43" orientation="landscape" r:id="rId1"/>
  <headerFooter alignWithMargins="0">
    <oddHeader>&amp;R&amp;"Arial,Bold"Formula Rate
&amp;A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O38"/>
  <sheetViews>
    <sheetView tabSelected="1" workbookViewId="0">
      <selection activeCell="B7" sqref="B7"/>
    </sheetView>
  </sheetViews>
  <sheetFormatPr defaultColWidth="8.85546875" defaultRowHeight="12.75"/>
  <cols>
    <col min="1" max="1" width="9.140625" style="1" customWidth="1"/>
    <col min="2" max="2" width="65.140625" bestFit="1" customWidth="1"/>
    <col min="3" max="3" width="13.5703125" bestFit="1" customWidth="1"/>
    <col min="4" max="4" width="1.5703125" customWidth="1"/>
    <col min="5" max="5" width="15" bestFit="1" customWidth="1"/>
  </cols>
  <sheetData>
    <row r="1" spans="1:15" ht="15.75">
      <c r="A1" s="744" t="s">
        <v>416</v>
      </c>
    </row>
    <row r="2" spans="1:15" ht="15.75">
      <c r="A2" s="744" t="s">
        <v>416</v>
      </c>
    </row>
    <row r="3" spans="1:15" ht="15">
      <c r="A3" s="1146" t="str">
        <f>TCOS!$F$5</f>
        <v>AEPTCo subsidiaries in PJM</v>
      </c>
      <c r="B3" s="1146" t="str">
        <f>TCOS!$F$5</f>
        <v>AEPTCo subsidiaries in PJM</v>
      </c>
      <c r="C3" s="1146" t="str">
        <f>TCOS!$F$5</f>
        <v>AEPTCo subsidiaries in PJM</v>
      </c>
      <c r="D3" s="1146" t="str">
        <f>TCOS!$F$5</f>
        <v>AEPTCo subsidiaries in PJM</v>
      </c>
      <c r="E3" s="1146" t="str">
        <f>TCOS!$F$5</f>
        <v>AEPTCo subsidiaries in PJM</v>
      </c>
      <c r="F3" s="17"/>
      <c r="G3" s="17"/>
      <c r="H3" s="17"/>
      <c r="I3" s="17"/>
      <c r="J3" s="17"/>
      <c r="K3" s="17"/>
      <c r="L3" s="17"/>
      <c r="M3" s="17"/>
      <c r="N3" s="17"/>
      <c r="O3" s="17"/>
    </row>
    <row r="4" spans="1:15" ht="15">
      <c r="A4" s="1147" t="str">
        <f>"Cost of Service Formula Rate Using Actual/Projected FF1 Balances"</f>
        <v>Cost of Service Formula Rate Using Actual/Projected FF1 Balances</v>
      </c>
      <c r="B4" s="1147"/>
      <c r="C4" s="1147"/>
      <c r="D4" s="1147"/>
      <c r="E4" s="1147"/>
      <c r="F4" s="44"/>
      <c r="G4" s="44"/>
      <c r="H4" s="44"/>
      <c r="I4" s="44"/>
      <c r="J4" s="44"/>
      <c r="K4" s="44"/>
      <c r="L4" s="44"/>
      <c r="M4" s="45"/>
      <c r="N4" s="45"/>
      <c r="O4" s="45"/>
    </row>
    <row r="5" spans="1:15" ht="15">
      <c r="A5" s="1147" t="s">
        <v>553</v>
      </c>
      <c r="B5" s="1147"/>
      <c r="C5" s="1147"/>
      <c r="D5" s="1147"/>
      <c r="E5" s="1147"/>
      <c r="F5" s="44"/>
      <c r="G5" s="44"/>
      <c r="H5" s="44"/>
      <c r="I5" s="44"/>
      <c r="J5" s="44"/>
      <c r="K5" s="44"/>
      <c r="L5" s="44"/>
      <c r="M5" s="44"/>
      <c r="N5" s="44"/>
      <c r="O5" s="44"/>
    </row>
    <row r="6" spans="1:15" ht="15">
      <c r="A6" s="1154" t="str">
        <f>TCOS!F9</f>
        <v>AEP Kentucky Transmission Company</v>
      </c>
      <c r="B6" s="1154"/>
      <c r="C6" s="1154"/>
      <c r="D6" s="1154"/>
      <c r="E6" s="1154"/>
      <c r="F6" s="2"/>
      <c r="G6" s="2"/>
      <c r="H6" s="2"/>
      <c r="I6" s="2"/>
      <c r="J6" s="2"/>
      <c r="K6" s="2"/>
      <c r="L6" s="2"/>
      <c r="M6" s="2"/>
      <c r="N6" s="2"/>
      <c r="O6" s="2"/>
    </row>
    <row r="8" spans="1:15">
      <c r="A8" s="69" t="s">
        <v>469</v>
      </c>
      <c r="B8" s="70" t="s">
        <v>462</v>
      </c>
      <c r="C8" s="70" t="s">
        <v>463</v>
      </c>
    </row>
    <row r="9" spans="1:15">
      <c r="A9" s="69" t="s">
        <v>407</v>
      </c>
      <c r="B9" s="69" t="s">
        <v>467</v>
      </c>
      <c r="C9" s="69">
        <f>+TCOS!L4</f>
        <v>2025</v>
      </c>
    </row>
    <row r="10" spans="1:15">
      <c r="B10" s="98"/>
      <c r="C10" s="70"/>
    </row>
    <row r="11" spans="1:15">
      <c r="A11" s="1">
        <v>1</v>
      </c>
      <c r="B11" s="911" t="str">
        <f>"Net Funds from IPP Customers 12/31/"&amp;TCOS!L4-1&amp;" ("&amp;TCOS!L4&amp;" FORM 1, P269)"</f>
        <v>Net Funds from IPP Customers 12/31/2024 (2025 FORM 1, P269)</v>
      </c>
      <c r="C11" s="371">
        <v>0</v>
      </c>
    </row>
    <row r="12" spans="1:15">
      <c r="B12" s="3"/>
    </row>
    <row r="13" spans="1:15">
      <c r="A13" s="359">
        <v>2</v>
      </c>
      <c r="B13" s="911" t="s">
        <v>259</v>
      </c>
      <c r="C13" s="371">
        <v>0</v>
      </c>
    </row>
    <row r="14" spans="1:15">
      <c r="A14" s="359"/>
      <c r="B14" s="911"/>
    </row>
    <row r="15" spans="1:15">
      <c r="A15" s="359">
        <f>+A13+1</f>
        <v>3</v>
      </c>
      <c r="B15" s="911" t="s">
        <v>337</v>
      </c>
      <c r="C15" s="371">
        <v>0</v>
      </c>
    </row>
    <row r="16" spans="1:15">
      <c r="A16" s="359"/>
      <c r="B16" s="911"/>
    </row>
    <row r="17" spans="1:4">
      <c r="A17" s="359">
        <f>+A15+1</f>
        <v>4</v>
      </c>
      <c r="B17" s="912" t="s">
        <v>0</v>
      </c>
    </row>
    <row r="18" spans="1:4">
      <c r="A18" s="360">
        <f>+A17+1</f>
        <v>5</v>
      </c>
      <c r="B18" s="911" t="s">
        <v>338</v>
      </c>
      <c r="C18" s="371">
        <v>0</v>
      </c>
    </row>
    <row r="19" spans="1:4">
      <c r="A19" s="360">
        <f>+A18+1</f>
        <v>6</v>
      </c>
      <c r="B19" s="47" t="s">
        <v>416</v>
      </c>
      <c r="C19" s="371">
        <v>0</v>
      </c>
    </row>
    <row r="20" spans="1:4">
      <c r="A20" s="360"/>
      <c r="B20" s="3"/>
      <c r="C20" s="363"/>
    </row>
    <row r="21" spans="1:4">
      <c r="A21" s="360">
        <f>+A19+1</f>
        <v>7</v>
      </c>
      <c r="B21" s="911" t="str">
        <f>"Net Funds from IPP Customers 12/31/"&amp;TCOS!L4&amp;" ("&amp;TCOS!L4&amp;" FORM 1, P269)"</f>
        <v>Net Funds from IPP Customers 12/31/2025 (2025 FORM 1, P269)</v>
      </c>
      <c r="C21" s="364">
        <f>+C11+C13+C15+C18+C19</f>
        <v>0</v>
      </c>
      <c r="D21" s="365"/>
    </row>
    <row r="22" spans="1:4">
      <c r="A22" s="360"/>
      <c r="B22" s="362"/>
    </row>
    <row r="23" spans="1:4">
      <c r="A23" s="360">
        <f>+A21+1</f>
        <v>8</v>
      </c>
      <c r="B23" s="361" t="str">
        <f>"Average Balance for Year as Indicated in Column ((ln "&amp;A11&amp;" + ln "&amp;A21&amp;")/2)"</f>
        <v>Average Balance for Year as Indicated in Column ((ln 1 + ln 7)/2)</v>
      </c>
      <c r="C23" s="366">
        <f>AVERAGE(C21,C11)</f>
        <v>0</v>
      </c>
    </row>
    <row r="24" spans="1:4">
      <c r="A24" s="360"/>
      <c r="B24" s="362"/>
    </row>
    <row r="25" spans="1:4">
      <c r="A25" s="360"/>
      <c r="B25" s="362"/>
      <c r="C25" s="364"/>
    </row>
    <row r="26" spans="1:4" ht="15">
      <c r="A26" s="367" t="s">
        <v>295</v>
      </c>
      <c r="B26" s="1175" t="str">
        <f>"On this worksheet Company Records refers to  "&amp;A6&amp;"'s general ledger."</f>
        <v>On this worksheet Company Records refers to  AEP Kentucky Transmission Company's general ledger.</v>
      </c>
      <c r="C26" s="218"/>
    </row>
    <row r="27" spans="1:4">
      <c r="A27" s="368"/>
      <c r="B27" s="1176"/>
    </row>
    <row r="32" spans="1:4">
      <c r="D32" s="369"/>
    </row>
    <row r="38" spans="3:3">
      <c r="C38" s="370"/>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jczNjg5PC9Vc2VyTmFtZT48RGF0ZVRpbWU+My8yNS8yMDIyIDc6MTQ6MDIgUE08L0RhdGVUaW1lPjxMYWJlbFN0cmluZz5BRVAgSW50ZXJuYWw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0533E3B7-C896-4A9C-87B0-08B4DCBC6364}">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638994A-276E-4314-8588-D477D364CAF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24</vt:i4>
      </vt:variant>
      <vt:variant>
        <vt:lpstr>Named Ranges</vt:lpstr>
      </vt:variant>
      <vt:variant>
        <vt:i4>25</vt:i4>
      </vt:variant>
    </vt:vector>
  </HeadingPairs>
  <TitlesOfParts>
    <vt:vector size="49" baseType="lpstr">
      <vt:lpstr>TCOS</vt:lpstr>
      <vt:lpstr>WS A - Rate Base Support</vt:lpstr>
      <vt:lpstr>WS B ADIT &amp; ITC</vt:lpstr>
      <vt:lpstr>WS B-1 - Actual Stmt. AF</vt:lpstr>
      <vt:lpstr>WS B-2 - Actual Stmt. AG</vt:lpstr>
      <vt:lpstr>WS B-3</vt:lpstr>
      <vt:lpstr>WS B-3-A Remeas Suprt</vt:lpstr>
      <vt:lpstr>WS C  - Working Capital</vt:lpstr>
      <vt:lpstr>WS D IPP Credits</vt:lpstr>
      <vt:lpstr>WS E Rev Credits</vt:lpstr>
      <vt:lpstr>WS F Misc Exp</vt:lpstr>
      <vt:lpstr>WS G  State Tax Rate</vt:lpstr>
      <vt:lpstr>WS H-p1 Other Taxes</vt:lpstr>
      <vt:lpstr>WS H-p2 Detail of Tax Amts</vt:lpstr>
      <vt:lpstr>WS I RESERVED</vt:lpstr>
      <vt:lpstr>WS J PROJECTED RTEP RR</vt:lpstr>
      <vt:lpstr>WS K TRUE-UP RTEP RR</vt:lpstr>
      <vt:lpstr>WS L RESERVED</vt:lpstr>
      <vt:lpstr>WS M - Cost of Capital</vt:lpstr>
      <vt:lpstr>WS N - Sale of Plant Held</vt:lpstr>
      <vt:lpstr>Worksheet O</vt:lpstr>
      <vt:lpstr>WS P Dep. Rates</vt:lpstr>
      <vt:lpstr>WS Q Cap Structure</vt:lpstr>
      <vt:lpstr>WS R Interest</vt:lpstr>
      <vt:lpstr>NP_h</vt:lpstr>
      <vt:lpstr>NPh</vt:lpstr>
      <vt:lpstr>TCOS!Print_Area</vt:lpstr>
      <vt:lpstr>'Worksheet O'!Print_Area</vt:lpstr>
      <vt:lpstr>'WS B ADIT &amp; ITC'!Print_Area</vt:lpstr>
      <vt:lpstr>'WS D IPP Credits'!Print_Area</vt:lpstr>
      <vt:lpstr>'WS E Rev Credits'!Print_Area</vt:lpstr>
      <vt:lpstr>'WS F Misc Exp'!Print_Area</vt:lpstr>
      <vt:lpstr>'WS G  State Tax Rate'!Print_Area</vt:lpstr>
      <vt:lpstr>'WS H-p1 Other Taxes'!Print_Area</vt:lpstr>
      <vt:lpstr>'WS H-p2 Detail of Tax Amts'!Print_Area</vt:lpstr>
      <vt:lpstr>'WS I RESERVED'!Print_Area</vt:lpstr>
      <vt:lpstr>'WS J PROJECTED RTEP RR'!Print_Area</vt:lpstr>
      <vt:lpstr>'WS K TRUE-UP RTEP RR'!Print_Area</vt:lpstr>
      <vt:lpstr>'WS L RESERVED'!Print_Area</vt:lpstr>
      <vt:lpstr>'WS N - Sale of Plant Held'!Print_Area</vt:lpstr>
      <vt:lpstr>'WS P Dep. Rates'!Print_Area</vt:lpstr>
      <vt:lpstr>'WS Q Cap Structure'!Print_Area</vt:lpstr>
      <vt:lpstr>'WS R Interest'!Print_Area</vt:lpstr>
      <vt:lpstr>'WS A - Rate Base Support'!Print_Titles</vt:lpstr>
      <vt:lpstr>'WS C  - Working Capital'!Print_Titles</vt:lpstr>
      <vt:lpstr>'WS H-p1 Other Taxes'!Print_Titles</vt:lpstr>
      <vt:lpstr>'WS H-p2 Detail of Tax Amts'!Print_Titles</vt:lpstr>
      <vt:lpstr>'WS M - Cost of Capital'!Print_Titles</vt:lpstr>
      <vt:lpstr>'WS P Dep. Rates'!Print_Titles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2026-05-21T17:00:56Z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b7eacc32-4c26-4e0d-8fad-ac715f97234d</vt:lpwstr>
  </property>
  <property fmtid="{D5CDD505-2E9C-101B-9397-08002B2CF9AE}" pid="3" name="bjSaver">
    <vt:lpwstr>HTegTYUHA5Eno747PWutbmINAXeRHZsu</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ClsUserRVM">
    <vt:lpwstr>[]</vt:lpwstr>
  </property>
  <property fmtid="{D5CDD505-2E9C-101B-9397-08002B2CF9AE}" pid="7" name="bjLabelHistoryID">
    <vt:lpwstr>{0533E3B7-C896-4A9C-87B0-08B4DCBC6364}</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2" name="bjDocumentLabelXML-0">
    <vt:lpwstr>ames.com/2008/01/sie/internal/label"&gt;&lt;element uid="50c31824-0780-4910-87d1-eaaffd182d42" value="" /&gt;&lt;/sisl&gt;</vt:lpwstr>
  </property>
</Properties>
</file>